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drspdmftrf\Compartilhada_ADM\HOSPITAIS\7-HMBFM\Site\Conteúdo Acesso a Informação\1. Atividades e resultados - Planilha de Produção\"/>
    </mc:Choice>
  </mc:AlternateContent>
  <xr:revisionPtr revIDLastSave="0" documentId="10_ncr:100000_{B190014E-56BE-432F-B667-C6E8F5063407}" xr6:coauthVersionLast="31" xr6:coauthVersionMax="31" xr10:uidLastSave="{00000000-0000-0000-0000-000000000000}"/>
  <bookViews>
    <workbookView xWindow="0" yWindow="0" windowWidth="20490" windowHeight="6945" tabRatio="781" firstSheet="7" activeTab="7" xr2:uid="{00000000-000D-0000-FFFF-FFFF00000000}"/>
  </bookViews>
  <sheets>
    <sheet name="Assistencial JAN" sheetId="6" state="hidden" r:id="rId1"/>
    <sheet name="Assistencial FEV" sheetId="2" state="hidden" r:id="rId2"/>
    <sheet name="Assistencial MAR" sheetId="3" state="hidden" r:id="rId3"/>
    <sheet name=" Taxas Mortalidade " sheetId="50" state="hidden" r:id="rId4"/>
    <sheet name="Qualidade Jan" sheetId="9" state="hidden" r:id="rId5"/>
    <sheet name="Qualidade FEV" sheetId="7" state="hidden" r:id="rId6"/>
    <sheet name="Qualidade Mar" sheetId="8" state="hidden" r:id="rId7"/>
    <sheet name="Contrato X Realizado 2º sem" sheetId="60" r:id="rId8"/>
  </sheets>
  <externalReferences>
    <externalReference r:id="rId9"/>
  </externalReferences>
  <definedNames>
    <definedName name="_________xlnm.Print_Area_1">#REF!</definedName>
    <definedName name="_______xlnm.Print_Area_1">#REF!</definedName>
    <definedName name="______xlnm.Print_Area_1">#REF!</definedName>
    <definedName name="____xlnm.Print_Area_1">#REF!</definedName>
    <definedName name="___xlnm.Print_Area_1">#REF!</definedName>
    <definedName name="__xlfn_IFERROR">NA()</definedName>
    <definedName name="__xlnm.Print_Area_1" localSheetId="1">'Assistencial FEV'!$A$1:$I$52</definedName>
    <definedName name="__xlnm.Print_Area_1" localSheetId="0">'Assistencial JAN'!$A$1:$I$52</definedName>
    <definedName name="__xlnm.Print_Area_1" localSheetId="2">'Assistencial MAR'!$A$1:$I$52</definedName>
    <definedName name="__xlnm.Print_Area_1" localSheetId="5">'Qualidade FEV'!$A$2:$I$46</definedName>
    <definedName name="__xlnm.Print_Area_1" localSheetId="4">'Qualidade Jan'!$A$2:$I$46</definedName>
    <definedName name="__xlnm.Print_Area_1" localSheetId="6">'Qualidade Mar'!$A$2:$I$46</definedName>
    <definedName name="__xlnm.Print_Area_5">#N/A</definedName>
    <definedName name="__xlnm.Print_Area_6">#N/A</definedName>
    <definedName name="__xlnm.Print_Area_7">#N/A</definedName>
    <definedName name="acumulado" localSheetId="7">#REF!</definedName>
    <definedName name="acumulado">#REF!</definedName>
    <definedName name="_xlnm.Print_Area" localSheetId="3">' Taxas Mortalidade '!$A$1:$M$24</definedName>
    <definedName name="_xlnm.Print_Area" localSheetId="1">'Assistencial FEV'!$A$1:$I$52</definedName>
    <definedName name="_xlnm.Print_Area" localSheetId="0">'Assistencial JAN'!$A$1:$I$52</definedName>
    <definedName name="_xlnm.Print_Area" localSheetId="2">'Assistencial MAR'!$A$1:$J$52</definedName>
    <definedName name="_xlnm.Print_Area" localSheetId="7">'Contrato X Realizado 2º sem'!$A$1:$X$73</definedName>
    <definedName name="_xlnm.Print_Area" localSheetId="5">'Qualidade FEV'!$A$1:$K$91</definedName>
    <definedName name="_xlnm.Print_Area" localSheetId="4">'Qualidade Jan'!$A$1:$K$91</definedName>
    <definedName name="_xlnm.Print_Area" localSheetId="6">'Qualidade Mar'!$A$1:$K$95</definedName>
    <definedName name="DEZ" localSheetId="7">#REF!</definedName>
    <definedName name="DEZ">#REF!</definedName>
    <definedName name="Excel_BuiltIn_Print_Area_1_1_1_1" localSheetId="7">#REF!</definedName>
    <definedName name="Excel_BuiltIn_Print_Area_1_1_1_1">#REF!</definedName>
    <definedName name="Excel_BuiltIn_Print_Area_1_1_1_1_1" localSheetId="7">#REF!</definedName>
    <definedName name="Excel_BuiltIn_Print_Area_1_1_1_1_1">#REF!</definedName>
    <definedName name="Excel_BuiltIn_Print_Area_1_1_1_1_1_1" localSheetId="7">#REF!</definedName>
    <definedName name="Excel_BuiltIn_Print_Area_1_1_1_1_1_1">#REF!</definedName>
    <definedName name="Excel_BuiltIn_Print_Area_1_1_1_1_1_1_1" localSheetId="7">#REF!</definedName>
    <definedName name="Excel_BuiltIn_Print_Area_1_1_1_1_1_1_1">#REF!</definedName>
    <definedName name="Excel_BuiltIn_Print_Area_1_1_1_1_1_1_1_1" localSheetId="7">#REF!</definedName>
    <definedName name="Excel_BuiltIn_Print_Area_1_1_1_1_1_1_1_1">#REF!</definedName>
    <definedName name="Excel_BuiltIn_Print_Area_1_1_1_1_1_1_1_1_1_1_1">"'file:///C:/Users/zeladoria/Desktop/2010/Estat%C3%ADstica%20Ambulatorio%202010/Ambulat%C3%B3rio%202010/3-Servi%C3%A7o%20Social%20-%20SAU%202010.xls'#$''.$A$1:$N$69"</definedName>
    <definedName name="Excel_BuiltIn_Print_Area_1_1_1_1_1_1_1_1_1_1_1_1">"'file:///C:/Users/zeladoria/Desktop/2010/Estat%C3%ADstica%20Ambulatorio%202010/02-Rede%202010%20ajustes%20-%20.xls'#$''.$IF$240:$IJ$244"</definedName>
    <definedName name="Excel_BuiltIn_Print_Area_1_1_1_1_1_1_1_1_1_1_1_1_1">"'file:///C:/Users/zeladoria/Desktop/2010/Estat%C3%ADstica%20Ambulatorio%202010/02-Rede%202010%20ajustes%20-%20.xls'#$''.$IF$240:$IJ$244"</definedName>
    <definedName name="Excel_BuiltIn_Print_Area_1_1_1_1_1_9">#N/A</definedName>
    <definedName name="Excel_BuiltIn_Print_Area_1_1_1_1_9">#N/A</definedName>
    <definedName name="Excel_BuiltIn_Print_Area_1_1_1_9">#N/A</definedName>
    <definedName name="Excel_BuiltIn_Print_Area_1_1_9">#N/A</definedName>
    <definedName name="Excel_BuiltIn_Print_Area_10_1" localSheetId="7">#REF!</definedName>
    <definedName name="Excel_BuiltIn_Print_Area_10_1">#REF!</definedName>
    <definedName name="Excel_BuiltIn_Print_Area_10_1_1" localSheetId="7">#REF!</definedName>
    <definedName name="Excel_BuiltIn_Print_Area_10_1_1">#REF!</definedName>
    <definedName name="Excel_BuiltIn_Print_Area_11_1" localSheetId="7">#REF!</definedName>
    <definedName name="Excel_BuiltIn_Print_Area_11_1">#REF!</definedName>
    <definedName name="Excel_BuiltIn_Print_Area_11_1_1" localSheetId="7">#REF!</definedName>
    <definedName name="Excel_BuiltIn_Print_Area_11_1_1">#REF!</definedName>
    <definedName name="Excel_BuiltIn_Print_Area_12_1" localSheetId="7">#REF!</definedName>
    <definedName name="Excel_BuiltIn_Print_Area_12_1">#REF!</definedName>
    <definedName name="Excel_BuiltIn_Print_Area_12_1_1" localSheetId="7">#REF!</definedName>
    <definedName name="Excel_BuiltIn_Print_Area_12_1_1">#REF!</definedName>
    <definedName name="Excel_BuiltIn_Print_Area_13_1" localSheetId="7">#REF!</definedName>
    <definedName name="Excel_BuiltIn_Print_Area_13_1">#REF!</definedName>
    <definedName name="Excel_BuiltIn_Print_Area_14_1" localSheetId="7">#REF!</definedName>
    <definedName name="Excel_BuiltIn_Print_Area_14_1">#REF!</definedName>
    <definedName name="Excel_BuiltIn_Print_Area_14_1_1" localSheetId="3">"'file:///C:/Users/zeladoria/Desktop/2010/Estat%C3%ADstica%20Ambulatorio%202010/02-Rede%202010%20ajustes%20-%20.xls'#$''.$A$1:$C$32"</definedName>
    <definedName name="Excel_BuiltIn_Print_Area_14_1_1" localSheetId="7">#REF!</definedName>
    <definedName name="Excel_BuiltIn_Print_Area_14_1_1">#REF!</definedName>
    <definedName name="Excel_BuiltIn_Print_Area_15_1" localSheetId="7">#REF!</definedName>
    <definedName name="Excel_BuiltIn_Print_Area_15_1">#REF!</definedName>
    <definedName name="Excel_BuiltIn_Print_Area_15_1_1" localSheetId="7">#REF!</definedName>
    <definedName name="Excel_BuiltIn_Print_Area_15_1_1">#REF!</definedName>
    <definedName name="Excel_BuiltIn_Print_Area_15_1_1_1" localSheetId="7">#REF!</definedName>
    <definedName name="Excel_BuiltIn_Print_Area_15_1_1_1">#REF!</definedName>
    <definedName name="Excel_BuiltIn_Print_Area_16_1" localSheetId="7">#REF!</definedName>
    <definedName name="Excel_BuiltIn_Print_Area_16_1">#REF!</definedName>
    <definedName name="Excel_BuiltIn_Print_Area_16_1_1" localSheetId="7">#REF!</definedName>
    <definedName name="Excel_BuiltIn_Print_Area_16_1_1">#REF!</definedName>
    <definedName name="Excel_BuiltIn_Print_Area_16_1_1_1" localSheetId="7">#REF!</definedName>
    <definedName name="Excel_BuiltIn_Print_Area_16_1_1_1">#REF!</definedName>
    <definedName name="Excel_BuiltIn_Print_Area_16_1_1_1_1" localSheetId="7">'Contrato X Realizado 2º sem'!$A$1:$W$76</definedName>
    <definedName name="Excel_BuiltIn_Print_Area_16_1_1_1_1">#REF!</definedName>
    <definedName name="Excel_BuiltIn_Print_Area_17_1" localSheetId="7">'Contrato X Realizado 2º sem'!$A$1:$W$77</definedName>
    <definedName name="Excel_BuiltIn_Print_Area_17_1">#REF!</definedName>
    <definedName name="Excel_BuiltIn_Print_Area_17_1_1" localSheetId="7">'Contrato X Realizado 2º sem'!$A$1:$W$76</definedName>
    <definedName name="Excel_BuiltIn_Print_Area_17_1_1">#REF!</definedName>
    <definedName name="Excel_BuiltIn_Print_Area_17_1_1_1" localSheetId="7">'Contrato X Realizado 2º sem'!$A$1:$W$49</definedName>
    <definedName name="Excel_BuiltIn_Print_Area_17_1_1_1">#REF!</definedName>
    <definedName name="Excel_BuiltIn_Print_Area_18_1" localSheetId="7">#REF!</definedName>
    <definedName name="Excel_BuiltIn_Print_Area_18_1">#REF!</definedName>
    <definedName name="Excel_BuiltIn_Print_Area_19_1" localSheetId="3">"'file:///C:/Users/zeladoria/Desktop/2010/Estat%C3%ADstica%20Ambulatorio%202010/02-Rede%202010%20ajustes%20-%20.xls'#$''.$A$1:$O$41"</definedName>
    <definedName name="Excel_BuiltIn_Print_Area_19_1" localSheetId="7">#REF!</definedName>
    <definedName name="Excel_BuiltIn_Print_Area_19_1">#REF!</definedName>
    <definedName name="Excel_BuiltIn_Print_Area_2_1" localSheetId="3">"'file:///C:/Users/zeladoria/Desktop/2010/Estat%C3%ADstica%20Ambulatorio%202010/Ambulat%C3%B3rio%202010/3-Servi%C3%A7o%20Social%20-%20SAU%202010.xls'#$''.$A$1:$N$72"</definedName>
    <definedName name="Excel_BuiltIn_Print_Area_2_1" localSheetId="7">#REF!</definedName>
    <definedName name="Excel_BuiltIn_Print_Area_2_1">#REF!</definedName>
    <definedName name="Excel_BuiltIn_Print_Area_2_1_1" localSheetId="7">#REF!</definedName>
    <definedName name="Excel_BuiltIn_Print_Area_2_1_1">#REF!</definedName>
    <definedName name="Excel_BuiltIn_Print_Area_2_1_1_1" localSheetId="3">"'file:///C:/Users/zeladoria/Desktop/2010/Estat%C3%ADstica%20Ambulatorio%202010/02-Rede%202010%20ajustes%20-%20.xls'#$''.$X$3:$AN$114"</definedName>
    <definedName name="Excel_BuiltIn_Print_Area_2_1_1_1" localSheetId="7">#REF!</definedName>
    <definedName name="Excel_BuiltIn_Print_Area_2_1_1_1">#REF!</definedName>
    <definedName name="Excel_BuiltIn_Print_Area_3_1" localSheetId="7">#REF!</definedName>
    <definedName name="Excel_BuiltIn_Print_Area_3_1">#REF!</definedName>
    <definedName name="Excel_BuiltIn_Print_Area_3_1_1" localSheetId="3">"'file:///C:/Users/zeladoria/Desktop/2010/Estat%C3%ADstica%20Ambulatorio%202010/Ambulat%C3%B3rio%202010/3-Servi%C3%A7o%20Social%20-%20SAU%202010.xls'#$''.$A$1:$N$68"</definedName>
    <definedName name="Excel_BuiltIn_Print_Area_3_1_1" localSheetId="7">#REF!</definedName>
    <definedName name="Excel_BuiltIn_Print_Area_3_1_1">#REF!</definedName>
    <definedName name="Excel_BuiltIn_Print_Area_3_1_1_1" localSheetId="3">NA()</definedName>
    <definedName name="Excel_BuiltIn_Print_Area_3_1_1_1" localSheetId="7">#REF!</definedName>
    <definedName name="Excel_BuiltIn_Print_Area_3_1_1_1">#REF!</definedName>
    <definedName name="Excel_BuiltIn_Print_Area_4_1" localSheetId="3">#N/A</definedName>
    <definedName name="Excel_BuiltIn_Print_Area_4_1" localSheetId="7">#REF!</definedName>
    <definedName name="Excel_BuiltIn_Print_Area_4_1">#REF!</definedName>
    <definedName name="Excel_BuiltIn_Print_Area_4_1_1" localSheetId="7">#REF!</definedName>
    <definedName name="Excel_BuiltIn_Print_Area_4_1_1">#REF!</definedName>
    <definedName name="Excel_BuiltIn_Print_Area_5_1" localSheetId="3">#N/A</definedName>
    <definedName name="Excel_BuiltIn_Print_Area_5_1" localSheetId="7">#REF!</definedName>
    <definedName name="Excel_BuiltIn_Print_Area_5_1">#REF!</definedName>
    <definedName name="Excel_BuiltIn_Print_Area_5_1_1" localSheetId="3">#N/A</definedName>
    <definedName name="Excel_BuiltIn_Print_Area_5_1_1" localSheetId="7">#REF!</definedName>
    <definedName name="Excel_BuiltIn_Print_Area_5_1_1">#REF!</definedName>
    <definedName name="Excel_BuiltIn_Print_Area_5_1_1_1_1">#N/A</definedName>
    <definedName name="Excel_BuiltIn_Print_Area_5_1_1_1_1_1">"#REF!"</definedName>
    <definedName name="Excel_BuiltIn_Print_Area_6_1" localSheetId="3">#N/A</definedName>
    <definedName name="Excel_BuiltIn_Print_Area_6_1" localSheetId="7">#REF!</definedName>
    <definedName name="Excel_BuiltIn_Print_Area_6_1">#REF!</definedName>
    <definedName name="Excel_BuiltIn_Print_Area_6_1_1" localSheetId="3">#N/A</definedName>
    <definedName name="Excel_BuiltIn_Print_Area_6_1_1" localSheetId="7">#REF!</definedName>
    <definedName name="Excel_BuiltIn_Print_Area_6_1_1">#REF!</definedName>
    <definedName name="Excel_BuiltIn_Print_Area_7_1" localSheetId="3">#N/A</definedName>
    <definedName name="Excel_BuiltIn_Print_Area_7_1" localSheetId="7">#REF!</definedName>
    <definedName name="Excel_BuiltIn_Print_Area_7_1">#REF!</definedName>
    <definedName name="Excel_BuiltIn_Print_Area_7_1_1" localSheetId="7">#REF!</definedName>
    <definedName name="Excel_BuiltIn_Print_Area_7_1_1">#REF!</definedName>
    <definedName name="Excel_BuiltIn_Print_Area_7_1_1_1" localSheetId="3">"'file:///C:/Users/zeladoria/Desktop/2010/Estat%C3%ADstica%20Ambulatorio%202010/02-Rede%202010%20ajustes%20-%20.xls'#$''.$A$3:$H$177"</definedName>
    <definedName name="Excel_BuiltIn_Print_Area_7_1_1_1" localSheetId="7">#REF!</definedName>
    <definedName name="Excel_BuiltIn_Print_Area_7_1_1_1">#REF!</definedName>
    <definedName name="Excel_BuiltIn_Print_Area_8_1" localSheetId="3">"#REF!"</definedName>
    <definedName name="Excel_BuiltIn_Print_Area_8_1" localSheetId="7">#REF!</definedName>
    <definedName name="Excel_BuiltIn_Print_Area_8_1">#REF!</definedName>
    <definedName name="Excel_BuiltIn_Print_Area_8_1_1" localSheetId="7">#REF!</definedName>
    <definedName name="Excel_BuiltIn_Print_Area_8_1_1">#REF!</definedName>
    <definedName name="Excel_BuiltIn_Print_Area_9_1" localSheetId="7">#REF!</definedName>
    <definedName name="Excel_BuiltIn_Print_Area_9_1">#REF!</definedName>
    <definedName name="Excel_BuiltIn_Print_Area_9_1_1" localSheetId="7">#REF!</definedName>
    <definedName name="Excel_BuiltIn_Print_Area_9_1_1">#REF!</definedName>
    <definedName name="hh" localSheetId="7">#REF!</definedName>
    <definedName name="hh">#REF!</definedName>
    <definedName name="k" localSheetId="7">#REF!</definedName>
    <definedName name="k">#REF!</definedName>
    <definedName name="kk" localSheetId="7">#REF!</definedName>
    <definedName name="kk">#REF!</definedName>
    <definedName name="kkk" localSheetId="7">#REF!</definedName>
    <definedName name="kkk">#REF!</definedName>
    <definedName name="mmm" localSheetId="7">#REF!</definedName>
    <definedName name="mmm">#REF!</definedName>
    <definedName name="nov" localSheetId="7">#REF!</definedName>
    <definedName name="nov">#REF!</definedName>
    <definedName name="NOVA22">#REF!</definedName>
    <definedName name="novo">#REF!</definedName>
    <definedName name="NOVO1">#REF!</definedName>
    <definedName name="PO" localSheetId="7">#REF!</definedName>
    <definedName name="PO">#REF!</definedName>
    <definedName name="PP">#REF!</definedName>
    <definedName name="sadt" localSheetId="7">#REF!</definedName>
    <definedName name="sadt">#REF!</definedName>
    <definedName name="SAU">#REF!</definedName>
    <definedName name="trimestral" localSheetId="7">#REF!</definedName>
    <definedName name="trimestral">#REF!</definedName>
    <definedName name="tt" localSheetId="7">#REF!</definedName>
    <definedName name="tt">#REF!</definedName>
    <definedName name="ZEN2">#REF!</definedName>
  </definedNames>
  <calcPr calcId="179017"/>
</workbook>
</file>

<file path=xl/calcChain.xml><?xml version="1.0" encoding="utf-8"?>
<calcChain xmlns="http://schemas.openxmlformats.org/spreadsheetml/2006/main">
  <c r="W63" i="60" l="1"/>
  <c r="V63" i="60"/>
  <c r="X63" i="60" s="1"/>
  <c r="W48" i="60"/>
  <c r="W36" i="60"/>
  <c r="W27" i="60"/>
  <c r="W26" i="60"/>
  <c r="W19" i="60"/>
  <c r="J73" i="60"/>
  <c r="G73" i="60"/>
  <c r="B73" i="60"/>
  <c r="D73" i="60" s="1"/>
  <c r="I68" i="60"/>
  <c r="J68" i="60" s="1"/>
  <c r="F68" i="60"/>
  <c r="G68" i="60" s="1"/>
  <c r="C68" i="60"/>
  <c r="D68" i="60" s="1"/>
  <c r="J63" i="60"/>
  <c r="G63" i="60"/>
  <c r="B63" i="60"/>
  <c r="D63" i="60" s="1"/>
  <c r="J59" i="60"/>
  <c r="G59" i="60"/>
  <c r="D59" i="60"/>
  <c r="I55" i="60"/>
  <c r="J55" i="60" s="1"/>
  <c r="F55" i="60"/>
  <c r="G55" i="60" s="1"/>
  <c r="C55" i="60"/>
  <c r="D55" i="60" s="1"/>
  <c r="I54" i="60"/>
  <c r="J54" i="60" s="1"/>
  <c r="F54" i="60"/>
  <c r="G54" i="60" s="1"/>
  <c r="C54" i="60"/>
  <c r="D54" i="60" s="1"/>
  <c r="J53" i="60"/>
  <c r="G53" i="60"/>
  <c r="C53" i="60"/>
  <c r="W53" i="60" s="1"/>
  <c r="B53" i="60"/>
  <c r="D53" i="60" s="1"/>
  <c r="J48" i="60"/>
  <c r="G48" i="60"/>
  <c r="B48" i="60"/>
  <c r="V48" i="60" s="1"/>
  <c r="X48" i="60" s="1"/>
  <c r="J42" i="60"/>
  <c r="G42" i="60"/>
  <c r="B42" i="60"/>
  <c r="D42" i="60" s="1"/>
  <c r="H37" i="60"/>
  <c r="E37" i="60"/>
  <c r="B37" i="60" s="1"/>
  <c r="V37" i="60" s="1"/>
  <c r="J36" i="60"/>
  <c r="G36" i="60"/>
  <c r="B36" i="60"/>
  <c r="D36" i="60" s="1"/>
  <c r="J35" i="60"/>
  <c r="G35" i="60"/>
  <c r="B35" i="60"/>
  <c r="D35" i="60" s="1"/>
  <c r="I34" i="60"/>
  <c r="I37" i="60" s="1"/>
  <c r="J37" i="60" s="1"/>
  <c r="F34" i="60"/>
  <c r="G34" i="60" s="1"/>
  <c r="C34" i="60"/>
  <c r="C37" i="60" s="1"/>
  <c r="B34" i="60"/>
  <c r="V34" i="60" s="1"/>
  <c r="J33" i="60"/>
  <c r="G33" i="60"/>
  <c r="D33" i="60"/>
  <c r="B33" i="60"/>
  <c r="V33" i="60" s="1"/>
  <c r="I28" i="60"/>
  <c r="H28" i="60"/>
  <c r="F28" i="60"/>
  <c r="G28" i="60" s="1"/>
  <c r="E28" i="60"/>
  <c r="D28" i="60"/>
  <c r="C28" i="60"/>
  <c r="J27" i="60"/>
  <c r="G27" i="60"/>
  <c r="D27" i="60"/>
  <c r="B27" i="60"/>
  <c r="V27" i="60" s="1"/>
  <c r="J26" i="60"/>
  <c r="G26" i="60"/>
  <c r="D26" i="60"/>
  <c r="B26" i="60"/>
  <c r="V26" i="60" s="1"/>
  <c r="X26" i="60" s="1"/>
  <c r="H20" i="60"/>
  <c r="E20" i="60"/>
  <c r="J19" i="60"/>
  <c r="G19" i="60"/>
  <c r="B19" i="60"/>
  <c r="D19" i="60" s="1"/>
  <c r="J18" i="60"/>
  <c r="G18" i="60"/>
  <c r="F18" i="60"/>
  <c r="C18" i="60"/>
  <c r="W18" i="60" s="1"/>
  <c r="B18" i="60"/>
  <c r="V18" i="60" s="1"/>
  <c r="J17" i="60"/>
  <c r="G17" i="60"/>
  <c r="B17" i="60"/>
  <c r="D17" i="60" s="1"/>
  <c r="J16" i="60"/>
  <c r="G16" i="60"/>
  <c r="F16" i="60"/>
  <c r="C16" i="60"/>
  <c r="W16" i="60" s="1"/>
  <c r="B16" i="60"/>
  <c r="V16" i="60" s="1"/>
  <c r="I15" i="60"/>
  <c r="I20" i="60" s="1"/>
  <c r="J20" i="60" s="1"/>
  <c r="F15" i="60"/>
  <c r="G15" i="60" s="1"/>
  <c r="C15" i="60"/>
  <c r="C20" i="60" s="1"/>
  <c r="B15" i="60"/>
  <c r="V15" i="60" s="1"/>
  <c r="R73" i="60"/>
  <c r="S73" i="60" s="1"/>
  <c r="P73" i="60"/>
  <c r="L73" i="60"/>
  <c r="W73" i="60" s="1"/>
  <c r="V68" i="60"/>
  <c r="X68" i="60" s="1"/>
  <c r="R68" i="60"/>
  <c r="S68" i="60" s="1"/>
  <c r="O68" i="60"/>
  <c r="P68" i="60" s="1"/>
  <c r="L68" i="60"/>
  <c r="W68" i="60" s="1"/>
  <c r="S63" i="60"/>
  <c r="P63" i="60"/>
  <c r="M63" i="60"/>
  <c r="W59" i="60"/>
  <c r="V59" i="60"/>
  <c r="X59" i="60" s="1"/>
  <c r="S59" i="60"/>
  <c r="P59" i="60"/>
  <c r="M59" i="60"/>
  <c r="S53" i="60"/>
  <c r="P53" i="60"/>
  <c r="M53" i="60"/>
  <c r="S48" i="60"/>
  <c r="P48" i="60"/>
  <c r="M48" i="60"/>
  <c r="V46" i="60"/>
  <c r="V51" i="60" s="1"/>
  <c r="W42" i="60"/>
  <c r="V42" i="60"/>
  <c r="S42" i="60"/>
  <c r="P42" i="60"/>
  <c r="M42" i="60"/>
  <c r="Q37" i="60"/>
  <c r="N37" i="60"/>
  <c r="K37" i="60"/>
  <c r="S36" i="60"/>
  <c r="P36" i="60"/>
  <c r="M36" i="60"/>
  <c r="R35" i="60"/>
  <c r="P35" i="60"/>
  <c r="M35" i="60"/>
  <c r="S34" i="60"/>
  <c r="O34" i="60"/>
  <c r="O37" i="60" s="1"/>
  <c r="P37" i="60" s="1"/>
  <c r="L34" i="60"/>
  <c r="M34" i="60" s="1"/>
  <c r="S33" i="60"/>
  <c r="P33" i="60"/>
  <c r="L33" i="60"/>
  <c r="V31" i="60"/>
  <c r="R28" i="60"/>
  <c r="S28" i="60" s="1"/>
  <c r="Q28" i="60"/>
  <c r="O28" i="60"/>
  <c r="P28" i="60" s="1"/>
  <c r="N28" i="60"/>
  <c r="L28" i="60"/>
  <c r="M28" i="60" s="1"/>
  <c r="K28" i="60"/>
  <c r="S27" i="60"/>
  <c r="P27" i="60"/>
  <c r="M27" i="60"/>
  <c r="S26" i="60"/>
  <c r="P26" i="60"/>
  <c r="M26" i="60"/>
  <c r="V24" i="60"/>
  <c r="V40" i="60" s="1"/>
  <c r="Q20" i="60"/>
  <c r="O20" i="60"/>
  <c r="N20" i="60"/>
  <c r="L20" i="60"/>
  <c r="K20" i="60"/>
  <c r="S19" i="60"/>
  <c r="P19" i="60"/>
  <c r="M19" i="60"/>
  <c r="S18" i="60"/>
  <c r="P18" i="60"/>
  <c r="M18" i="60"/>
  <c r="R17" i="60"/>
  <c r="W17" i="60" s="1"/>
  <c r="P17" i="60"/>
  <c r="M17" i="60"/>
  <c r="R16" i="60"/>
  <c r="P16" i="60"/>
  <c r="M16" i="60"/>
  <c r="S15" i="60"/>
  <c r="P15" i="60"/>
  <c r="M15" i="60"/>
  <c r="W9" i="60"/>
  <c r="V53" i="60" l="1"/>
  <c r="X53" i="60" s="1"/>
  <c r="X27" i="60"/>
  <c r="W28" i="60"/>
  <c r="V28" i="60"/>
  <c r="V73" i="60"/>
  <c r="X73" i="60" s="1"/>
  <c r="D37" i="60"/>
  <c r="L37" i="60"/>
  <c r="M37" i="60" s="1"/>
  <c r="X16" i="60"/>
  <c r="X18" i="60"/>
  <c r="X42" i="60"/>
  <c r="W15" i="60"/>
  <c r="X15" i="60" s="1"/>
  <c r="V19" i="60"/>
  <c r="X19" i="60" s="1"/>
  <c r="V17" i="60"/>
  <c r="X17" i="60" s="1"/>
  <c r="W33" i="60"/>
  <c r="W34" i="60"/>
  <c r="W35" i="60"/>
  <c r="R20" i="60"/>
  <c r="S20" i="60" s="1"/>
  <c r="M20" i="60"/>
  <c r="P20" i="60"/>
  <c r="M68" i="60"/>
  <c r="B20" i="60"/>
  <c r="V20" i="60" s="1"/>
  <c r="D18" i="60"/>
  <c r="J28" i="60"/>
  <c r="D48" i="60"/>
  <c r="V35" i="60"/>
  <c r="V36" i="60"/>
  <c r="X36" i="60" s="1"/>
  <c r="D16" i="60"/>
  <c r="F20" i="60"/>
  <c r="G20" i="60" s="1"/>
  <c r="F37" i="60"/>
  <c r="G37" i="60" s="1"/>
  <c r="D15" i="60"/>
  <c r="J15" i="60"/>
  <c r="D34" i="60"/>
  <c r="J34" i="60"/>
  <c r="M73" i="60"/>
  <c r="V61" i="60"/>
  <c r="V66" i="60"/>
  <c r="V57" i="60"/>
  <c r="V71" i="60" s="1"/>
  <c r="S16" i="60"/>
  <c r="X28" i="60"/>
  <c r="M33" i="60"/>
  <c r="X34" i="60"/>
  <c r="R37" i="60"/>
  <c r="S37" i="60" s="1"/>
  <c r="S17" i="60"/>
  <c r="P34" i="60"/>
  <c r="S35" i="60"/>
  <c r="X35" i="60" l="1"/>
  <c r="W37" i="60"/>
  <c r="X37" i="60" s="1"/>
  <c r="W20" i="60"/>
  <c r="X20" i="60" s="1"/>
  <c r="D20" i="60"/>
  <c r="X33" i="60"/>
  <c r="K74" i="8" l="1"/>
  <c r="J74" i="8"/>
  <c r="G74" i="8"/>
  <c r="E74" i="8"/>
  <c r="D74" i="8"/>
  <c r="K54" i="8"/>
  <c r="J54" i="8"/>
  <c r="I54" i="8"/>
  <c r="H54" i="8"/>
  <c r="G54" i="8"/>
  <c r="F54" i="8"/>
  <c r="E54" i="8"/>
  <c r="D54" i="8"/>
  <c r="C54" i="8"/>
  <c r="B54" i="8"/>
  <c r="B39" i="8"/>
  <c r="E37" i="8"/>
  <c r="K31" i="8"/>
  <c r="E31" i="8"/>
  <c r="K74" i="7"/>
  <c r="J74" i="7"/>
  <c r="G74" i="7"/>
  <c r="E74" i="7"/>
  <c r="D74" i="7"/>
  <c r="K54" i="7"/>
  <c r="J54" i="7"/>
  <c r="I54" i="7"/>
  <c r="H54" i="7"/>
  <c r="G54" i="7"/>
  <c r="F54" i="7"/>
  <c r="E54" i="7"/>
  <c r="D54" i="7"/>
  <c r="C54" i="7"/>
  <c r="B54" i="7"/>
  <c r="B39" i="7"/>
  <c r="E37" i="7"/>
  <c r="K31" i="7"/>
  <c r="E31" i="7"/>
  <c r="K74" i="9"/>
  <c r="J74" i="9"/>
  <c r="G74" i="9"/>
  <c r="E74" i="9"/>
  <c r="D74" i="9"/>
  <c r="K54" i="9"/>
  <c r="J54" i="9"/>
  <c r="I54" i="9"/>
  <c r="H54" i="9"/>
  <c r="G54" i="9"/>
  <c r="F54" i="9"/>
  <c r="E54" i="9"/>
  <c r="D54" i="9"/>
  <c r="C54" i="9"/>
  <c r="B54" i="9"/>
  <c r="B39" i="9"/>
  <c r="E37" i="9"/>
  <c r="K31" i="9"/>
  <c r="E31" i="9"/>
  <c r="D13" i="50"/>
  <c r="D23" i="50" s="1"/>
  <c r="D24" i="50" s="1"/>
  <c r="C13" i="50"/>
  <c r="C23" i="50" s="1"/>
  <c r="C24" i="50" s="1"/>
  <c r="B13" i="50"/>
  <c r="B23" i="50" s="1"/>
  <c r="B24" i="50" s="1"/>
  <c r="N24" i="50" l="1"/>
  <c r="C16" i="50"/>
  <c r="C18" i="50" s="1"/>
  <c r="B16" i="50"/>
  <c r="B18" i="50" s="1"/>
  <c r="D16" i="50"/>
  <c r="D18" i="50" s="1"/>
  <c r="D52" i="3"/>
  <c r="D48" i="3"/>
  <c r="J44" i="3"/>
  <c r="I44" i="3"/>
  <c r="H44" i="3"/>
  <c r="J35" i="3"/>
  <c r="G35" i="3"/>
  <c r="I35" i="3" s="1"/>
  <c r="B35" i="3"/>
  <c r="I34" i="3"/>
  <c r="I33" i="3"/>
  <c r="J30" i="3"/>
  <c r="I30" i="3"/>
  <c r="D26" i="3"/>
  <c r="C26" i="3"/>
  <c r="F25" i="3"/>
  <c r="F24" i="3"/>
  <c r="F23" i="3"/>
  <c r="F22" i="3"/>
  <c r="F21" i="3"/>
  <c r="F20" i="3"/>
  <c r="F19" i="3"/>
  <c r="I18" i="3"/>
  <c r="H18" i="3"/>
  <c r="G18" i="3"/>
  <c r="G26" i="3" s="1"/>
  <c r="E18" i="3"/>
  <c r="F18" i="3" s="1"/>
  <c r="F17" i="3"/>
  <c r="I16" i="3"/>
  <c r="H16" i="3"/>
  <c r="B16" i="3"/>
  <c r="F16" i="3" s="1"/>
  <c r="F15" i="3"/>
  <c r="I14" i="3"/>
  <c r="H14" i="3"/>
  <c r="F14" i="3"/>
  <c r="B14" i="3"/>
  <c r="I13" i="3"/>
  <c r="H13" i="3"/>
  <c r="E13" i="3"/>
  <c r="E26" i="3" s="1"/>
  <c r="B13" i="3"/>
  <c r="D52" i="2"/>
  <c r="D48" i="2"/>
  <c r="J44" i="2"/>
  <c r="I44" i="2"/>
  <c r="H44" i="2"/>
  <c r="J35" i="2"/>
  <c r="B35" i="2"/>
  <c r="I34" i="2"/>
  <c r="G33" i="2"/>
  <c r="G35" i="2" s="1"/>
  <c r="I35" i="2" s="1"/>
  <c r="J30" i="2"/>
  <c r="I30" i="2"/>
  <c r="G26" i="2"/>
  <c r="E26" i="2"/>
  <c r="D26" i="2"/>
  <c r="C26" i="2"/>
  <c r="B26" i="2"/>
  <c r="F25" i="2"/>
  <c r="F24" i="2"/>
  <c r="F23" i="2"/>
  <c r="F22" i="2"/>
  <c r="F21" i="2"/>
  <c r="F20" i="2"/>
  <c r="F19" i="2"/>
  <c r="I18" i="2"/>
  <c r="H18" i="2"/>
  <c r="F18" i="2"/>
  <c r="F17" i="2"/>
  <c r="I16" i="2"/>
  <c r="H16" i="2"/>
  <c r="F16" i="2"/>
  <c r="F15" i="2"/>
  <c r="I14" i="2"/>
  <c r="H14" i="2"/>
  <c r="F14" i="2"/>
  <c r="I13" i="2"/>
  <c r="H13" i="2"/>
  <c r="F13" i="2"/>
  <c r="D52" i="6"/>
  <c r="D48" i="6"/>
  <c r="J45" i="6"/>
  <c r="I45" i="6"/>
  <c r="H45" i="6"/>
  <c r="G36" i="6"/>
  <c r="I36" i="6" s="1"/>
  <c r="I35" i="6"/>
  <c r="B35" i="6"/>
  <c r="J33" i="6"/>
  <c r="I33" i="6"/>
  <c r="J30" i="6"/>
  <c r="I30" i="6"/>
  <c r="D26" i="6"/>
  <c r="C26" i="6"/>
  <c r="F25" i="6"/>
  <c r="F24" i="6"/>
  <c r="F23" i="6"/>
  <c r="F22" i="6"/>
  <c r="F21" i="6"/>
  <c r="F20" i="6"/>
  <c r="F19" i="6"/>
  <c r="I18" i="6"/>
  <c r="I26" i="6" s="1"/>
  <c r="H18" i="6"/>
  <c r="G18" i="6"/>
  <c r="G26" i="6" s="1"/>
  <c r="E18" i="6"/>
  <c r="F18" i="6" s="1"/>
  <c r="F17" i="6"/>
  <c r="I16" i="6"/>
  <c r="H16" i="6"/>
  <c r="B16" i="6"/>
  <c r="F16" i="6" s="1"/>
  <c r="F15" i="6"/>
  <c r="I14" i="6"/>
  <c r="H14" i="6"/>
  <c r="E14" i="6"/>
  <c r="B14" i="6"/>
  <c r="I13" i="6"/>
  <c r="H13" i="6"/>
  <c r="H26" i="6" s="1"/>
  <c r="E13" i="6"/>
  <c r="E26" i="6" s="1"/>
  <c r="B13" i="6"/>
  <c r="F13" i="3" l="1"/>
  <c r="H26" i="3"/>
  <c r="H26" i="2"/>
  <c r="I26" i="2"/>
  <c r="F26" i="3"/>
  <c r="I26" i="3"/>
  <c r="N18" i="50"/>
  <c r="B26" i="6"/>
  <c r="F14" i="6"/>
  <c r="F26" i="2"/>
  <c r="B26" i="3"/>
  <c r="I33" i="2"/>
  <c r="F13" i="6"/>
  <c r="F26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5" authorId="0" shapeId="0" xr:uid="{00000000-0006-0000-0700-000001000000}">
      <text>
        <r>
          <rPr>
            <b/>
            <sz val="9"/>
            <color indexed="8"/>
            <rFont val="Times New Roman"/>
            <family val="1"/>
          </rPr>
          <t xml:space="preserve">Estatistica Same:
</t>
        </r>
        <r>
          <rPr>
            <sz val="9"/>
            <color indexed="8"/>
            <rFont val="Times New Roman"/>
            <family val="1"/>
          </rPr>
          <t xml:space="preserve">Está sendo contabilizados as saídas (altas, óbitos e transferência para outro hospital)  das UTI Adulto I e II.
</t>
        </r>
      </text>
    </comment>
    <comment ref="A17" authorId="0" shapeId="0" xr:uid="{00000000-0006-0000-0700-000002000000}">
      <text>
        <r>
          <rPr>
            <sz val="9"/>
            <color indexed="8"/>
            <rFont val="Times New Roman"/>
            <family val="1"/>
          </rPr>
          <t xml:space="preserve">Estes dados corresponde as informações lançadas na Maternidade.
</t>
        </r>
      </text>
    </comment>
    <comment ref="A18" authorId="0" shapeId="0" xr:uid="{00000000-0006-0000-0700-000003000000}">
      <text>
        <r>
          <rPr>
            <sz val="10"/>
            <rFont val="Arial"/>
            <family val="2"/>
          </rPr>
          <t xml:space="preserve">Dados correspondem a soma de Pediatria I + Berçario,Pediatria II (cirurgica), UTI Ped e UTI Neo.
</t>
        </r>
      </text>
    </comment>
  </commentList>
</comments>
</file>

<file path=xl/sharedStrings.xml><?xml version="1.0" encoding="utf-8"?>
<sst xmlns="http://schemas.openxmlformats.org/spreadsheetml/2006/main" count="1026" uniqueCount="239">
  <si>
    <t>Planilha de Atividade Assistencial Mensal - Hospitalar</t>
  </si>
  <si>
    <t>Mês/Ano:</t>
  </si>
  <si>
    <t>CNES:</t>
  </si>
  <si>
    <t>6095666</t>
  </si>
  <si>
    <t xml:space="preserve">Internação </t>
  </si>
  <si>
    <t>Clinicas</t>
  </si>
  <si>
    <t>Altas</t>
  </si>
  <si>
    <t>Transferências Externas</t>
  </si>
  <si>
    <t>Óbitos &lt; 24hs</t>
  </si>
  <si>
    <t>Óbitos &gt;= 24hs</t>
  </si>
  <si>
    <t>Saídas Hospitalares</t>
  </si>
  <si>
    <t>Transferências Internas (UTI)</t>
  </si>
  <si>
    <t>Leitos Operacionais Dia</t>
  </si>
  <si>
    <t>Pacientes - Dia</t>
  </si>
  <si>
    <t>Clínica Médica</t>
  </si>
  <si>
    <t>-</t>
  </si>
  <si>
    <t>Clínica Cirúrgica</t>
  </si>
  <si>
    <t>Clínica Obstétrica</t>
  </si>
  <si>
    <t>Clínica Pediátrica</t>
  </si>
  <si>
    <t>Clínica Psiquiátrica</t>
  </si>
  <si>
    <t>UTI Adulto</t>
  </si>
  <si>
    <t>Berçário de alto risco</t>
  </si>
  <si>
    <t>UTI Pediátrica</t>
  </si>
  <si>
    <t>UTI Neonatal : &lt; 1000g</t>
  </si>
  <si>
    <t>UTI Neonatal : 1001 - 1500g</t>
  </si>
  <si>
    <t>UTI Neonatal : 1501 - 2500g</t>
  </si>
  <si>
    <t>UTI Neonatal : &gt; 2500g</t>
  </si>
  <si>
    <t>Total</t>
  </si>
  <si>
    <t>Saídas Hospitalares (Transf. Externas + Óbitos) das UTIs por Clínica</t>
  </si>
  <si>
    <t>Média de N° Salas Cirúrgicas Operacionais/Dia</t>
  </si>
  <si>
    <t>N° Saídas</t>
  </si>
  <si>
    <t>Eletiva</t>
  </si>
  <si>
    <t>Urgência</t>
  </si>
  <si>
    <t>Hospitalar</t>
  </si>
  <si>
    <t>Hemodiálise</t>
  </si>
  <si>
    <t>Agudo (UTI/Clínicas)</t>
  </si>
  <si>
    <t>Crônico (Ambulatório)</t>
  </si>
  <si>
    <t>PID</t>
  </si>
  <si>
    <t>Quantidade</t>
  </si>
  <si>
    <t>Sessões</t>
  </si>
  <si>
    <t>Nº de Pacientes</t>
  </si>
  <si>
    <t>Urgência / Emergência</t>
  </si>
  <si>
    <t>Adulto</t>
  </si>
  <si>
    <t>Infantil</t>
  </si>
  <si>
    <t>Nº de Atendimentos</t>
  </si>
  <si>
    <t>Mortalidade Operatória por ASA </t>
  </si>
  <si>
    <t>Nº de Óbitos até 7 Dias</t>
  </si>
  <si>
    <t>Avaliação Anestésica ASA 1</t>
  </si>
  <si>
    <t>Avaliação Anestésica ASA 2</t>
  </si>
  <si>
    <t>Avaliação Anestésica ASA 3</t>
  </si>
  <si>
    <t>Avaliação Anestésica ASA 4</t>
  </si>
  <si>
    <t>Avaliação Anestésica ASA 5</t>
  </si>
  <si>
    <t xml:space="preserve"> </t>
  </si>
  <si>
    <t>Comissões</t>
  </si>
  <si>
    <t> Comissão de Prontuários*</t>
  </si>
  <si>
    <t>Comissão de Humanização</t>
  </si>
  <si>
    <t>Comissão de Controle de Infecção Hospitalar</t>
  </si>
  <si>
    <t>N° Prontuários Revisados</t>
  </si>
  <si>
    <t>Data</t>
  </si>
  <si>
    <t>Reunião Realizada</t>
  </si>
  <si>
    <t>UGDP ( Unidade de Gestão de Pessoas)</t>
  </si>
  <si>
    <t>Rotatividade de Funcionários </t>
  </si>
  <si>
    <t>Médicos</t>
  </si>
  <si>
    <t>Nº de Enfermeiros  </t>
  </si>
  <si>
    <t>N° Admissões</t>
  </si>
  <si>
    <t>N° Médicos Regimento CLT</t>
  </si>
  <si>
    <t>N° Demissões</t>
  </si>
  <si>
    <t>N° Médicos Regimento PJ</t>
  </si>
  <si>
    <t>N° Total Enfermeiros</t>
  </si>
  <si>
    <t>N° Total de Funcionários (CLT)</t>
  </si>
  <si>
    <t>Nº Total  Médicos</t>
  </si>
  <si>
    <t>Força de Trabalho</t>
  </si>
  <si>
    <t xml:space="preserve">Serviços Tercerizados </t>
  </si>
  <si>
    <t>Nº de Profissionais Administrativo</t>
  </si>
  <si>
    <t>Nutricionista</t>
  </si>
  <si>
    <t>Laboratório</t>
  </si>
  <si>
    <t>Fonoaudiólogo</t>
  </si>
  <si>
    <t>Manutenção</t>
  </si>
  <si>
    <t>Fisioterapia</t>
  </si>
  <si>
    <t>N° Total de Profissionais             Prestadores de Serviços</t>
  </si>
  <si>
    <t>Psicólogo</t>
  </si>
  <si>
    <t>Terapeuta Ocupacional</t>
  </si>
  <si>
    <t>Obs: Exceto Médicos</t>
  </si>
  <si>
    <t>Mortalidade Intra-Hospitalar Neonatal  </t>
  </si>
  <si>
    <t>Nascidos Vivos</t>
  </si>
  <si>
    <t>Apgar 1 min &gt;= 7</t>
  </si>
  <si>
    <t>Apgar 5 min &gt;= 7</t>
  </si>
  <si>
    <t>Nascidos Mortos</t>
  </si>
  <si>
    <t>Óbitos 0-6 dias</t>
  </si>
  <si>
    <t>Óbitos 7-28 dias</t>
  </si>
  <si>
    <t>Óbitos 29 dias e +</t>
  </si>
  <si>
    <t>&lt; 500g</t>
  </si>
  <si>
    <t>500 - 749g</t>
  </si>
  <si>
    <t>750 - 999g</t>
  </si>
  <si>
    <t>1000 - 1249g</t>
  </si>
  <si>
    <t>1250 - 1499g</t>
  </si>
  <si>
    <t>1500 - 1749g</t>
  </si>
  <si>
    <t>1750 - 1999g</t>
  </si>
  <si>
    <t>2000 - 2249g</t>
  </si>
  <si>
    <t>2250 - 2499g</t>
  </si>
  <si>
    <t>2500g e +</t>
  </si>
  <si>
    <t>Controle de Infecção Hospitalar </t>
  </si>
  <si>
    <t>N° Infecções Hospitalares</t>
  </si>
  <si>
    <t>N° Infecções Corrente Sang. em Pac. com CVC/Umibil</t>
  </si>
  <si>
    <t>N° Pac./Dia com CVC/Umibilical</t>
  </si>
  <si>
    <t>Nº de Pneumonias em Pacientes com Vent. Mecânica</t>
  </si>
  <si>
    <t>Nº de Pac./Dia com Ventilação Mecânica</t>
  </si>
  <si>
    <t>UTI Neo &lt;= 1000g</t>
  </si>
  <si>
    <t>UTI Neo 1001 - 1500g</t>
  </si>
  <si>
    <t>UTI Neo 1501 - 2500g</t>
  </si>
  <si>
    <t>UTI Neo &gt; 2500g</t>
  </si>
  <si>
    <t>* Dados não computados</t>
  </si>
  <si>
    <t>** Não se aplica á Unidade</t>
  </si>
  <si>
    <t>*** Nâo tem na Unidade</t>
  </si>
  <si>
    <t>Cesáreas </t>
  </si>
  <si>
    <t>Nº Total de Partos (Cesáreas + Partos Normais)</t>
  </si>
  <si>
    <t>Nº Total de Cesáreas</t>
  </si>
  <si>
    <t>Nº Total de Partos em Primiparas (Cesáreas + Partos Normais)</t>
  </si>
  <si>
    <t>Nº Total de Cesáreas em Primiparas</t>
  </si>
  <si>
    <t>S.A.U  (Serviço Atendimento ao  Usuário)</t>
  </si>
  <si>
    <t>Pesquisa Realizada</t>
  </si>
  <si>
    <t>Resolutividade %</t>
  </si>
  <si>
    <t>Legenda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</si>
  <si>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</si>
  <si>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</si>
  <si>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</si>
  <si>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</si>
  <si>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</si>
  <si>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</si>
  <si>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</si>
  <si>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</si>
  <si>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</si>
  <si>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</si>
  <si>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</si>
  <si>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</si>
  <si>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%</t>
  </si>
  <si>
    <t>Taxa de Mortalidade  Operatória</t>
  </si>
  <si>
    <t>Cirurgias Realizadas no Centro Cirúrgico</t>
  </si>
  <si>
    <t>Cirurgias Realizadas na U.C.A</t>
  </si>
  <si>
    <t>Total de Cirúrgicas Realizadas</t>
  </si>
  <si>
    <t>Nùmero de Óbitos até 7 Dias</t>
  </si>
  <si>
    <t>Taxa de Cirúrgias de Urgências</t>
  </si>
  <si>
    <t>Número de Cirurgias de Urgência</t>
  </si>
  <si>
    <t>Total de Cirurgias Realizadas</t>
  </si>
  <si>
    <t>AMBULATÓRIO</t>
  </si>
  <si>
    <t>Contratado</t>
  </si>
  <si>
    <t>Realizado</t>
  </si>
  <si>
    <t>Clinica Médica I II e III</t>
  </si>
  <si>
    <t xml:space="preserve">Clinica Cirúrgica I II III </t>
  </si>
  <si>
    <t>Clinica Pediátrica</t>
  </si>
  <si>
    <t>Clinica Psiquiátrica</t>
  </si>
  <si>
    <t>TOTAL</t>
  </si>
  <si>
    <t xml:space="preserve">HOSPITAL DIA </t>
  </si>
  <si>
    <t>Cirurgias Oftalmológicas</t>
  </si>
  <si>
    <t>Consultas Médicas*</t>
  </si>
  <si>
    <t>Consultas Não Médicas</t>
  </si>
  <si>
    <t>* Obs: Consultas Médicas (Incluindo Medicina do Trabalho e Consultas do Centro Obstetrico)</t>
  </si>
  <si>
    <t>ATENDIMENTO À URGÊNCIA - REFERENCIADAS</t>
  </si>
  <si>
    <t>Consultas de Urgência</t>
  </si>
  <si>
    <t>NEUROLOGIA</t>
  </si>
  <si>
    <t>Punções Ventriculares Transfontanelas</t>
  </si>
  <si>
    <t>Derivações Ventrículos Peritoneais</t>
  </si>
  <si>
    <t>IMPLANTAÇÃO E CONTROLE DE MARCA PASSO</t>
  </si>
  <si>
    <t xml:space="preserve"> MARCA PASSO</t>
  </si>
  <si>
    <t>Número de Implantações</t>
  </si>
  <si>
    <t>QUIMIOTERAPIA</t>
  </si>
  <si>
    <t>Número de Sessões</t>
  </si>
  <si>
    <t>S.A.D.T ( Externo)</t>
  </si>
  <si>
    <t>Quimioterapia</t>
  </si>
  <si>
    <t>Hemodialise</t>
  </si>
  <si>
    <t>P.I.D ( Programa de Internação Domiciliar)</t>
  </si>
  <si>
    <t>ASSISTÊNCIA HOSPITALAR</t>
  </si>
  <si>
    <t>ATIVIDADE CIRURGICA (HOSPITAL DIA)</t>
  </si>
  <si>
    <t>ATENDIMENTO AMBULATORIAL</t>
  </si>
  <si>
    <t>HEMODIÁLISE</t>
  </si>
  <si>
    <t>Janeiro/2016</t>
  </si>
  <si>
    <t>UTI Neonatal</t>
  </si>
  <si>
    <t>Atividade Cirúrgica Centro Cirúrgico</t>
  </si>
  <si>
    <t>Atividade Cirúrgica ( Hospital Dia UCA)</t>
  </si>
  <si>
    <t>Demais procedimentos</t>
  </si>
  <si>
    <t xml:space="preserve">Oftalmologia </t>
  </si>
  <si>
    <t>Nº de Pacientes Operados Hospitalar</t>
  </si>
  <si>
    <t>Nº de Pacientes Operados Hospital Dia</t>
  </si>
  <si>
    <t>Nº de Sessões</t>
  </si>
  <si>
    <t>Taxa de Mortalidade Operatória</t>
  </si>
  <si>
    <t>Fevereiro/2016</t>
  </si>
  <si>
    <t>Março/2016</t>
  </si>
  <si>
    <t>Núcleo de Manutenção Geral</t>
  </si>
  <si>
    <t>N° Relatórios de Altas Conformes</t>
  </si>
  <si>
    <t>*Referente a análise dos prontuários do período entre 01 e 31 de Janeiro</t>
  </si>
  <si>
    <t>Equipe Multidisciplinar de Terapia Nutricional ( EMTN)</t>
  </si>
  <si>
    <t>CIHDOTT</t>
  </si>
  <si>
    <t xml:space="preserve">Comissão de Óbito </t>
  </si>
  <si>
    <t>PGRSS</t>
  </si>
  <si>
    <t>Nº de Prof. de Enfermagem </t>
  </si>
  <si>
    <t>Nº Auxliares de Enfermagem</t>
  </si>
  <si>
    <t>Nº Técnicos de Enfermagem</t>
  </si>
  <si>
    <t>Clínica Médica I,II e III</t>
  </si>
  <si>
    <t>Clínica Cirúrgica I,II e III</t>
  </si>
  <si>
    <t>Clínica Psiquiatrica</t>
  </si>
  <si>
    <t>N° IPCS cateter permanente</t>
  </si>
  <si>
    <t>N° Pac./Dia com cateter permanente</t>
  </si>
  <si>
    <t>Nª IPCS fistula</t>
  </si>
  <si>
    <t>Nº de Pac./Dia com fistula</t>
  </si>
  <si>
    <t>Nª IPCS PTFE</t>
  </si>
  <si>
    <t>Nº de Pac./Dia PTFE</t>
  </si>
  <si>
    <t>*Referente a análise dos prontuários do período entre 01 e 29 Fevereiro</t>
  </si>
  <si>
    <t>Obs: Anexo Projetos e Açoes</t>
  </si>
  <si>
    <t>*Referente a análise dos prontuários do período entre 01 e 31 de Março</t>
  </si>
  <si>
    <t>OBS: Reuniões bimestrais ( proximo em abril)</t>
  </si>
  <si>
    <t>Semi - Adulto</t>
  </si>
  <si>
    <t>ISC</t>
  </si>
  <si>
    <t>Abril</t>
  </si>
  <si>
    <t>Maio</t>
  </si>
  <si>
    <t>Junho</t>
  </si>
  <si>
    <t>ADMINISTRAÇÃO DE MEDICAMENTOS QUIMIOTERÁPICOS</t>
  </si>
  <si>
    <t>Obs:Retificado o total de sessões referente ao mês de Março(12/05/2015)</t>
  </si>
  <si>
    <t xml:space="preserve">Acumulado </t>
  </si>
  <si>
    <t xml:space="preserve">Clinica Obstétrica </t>
  </si>
  <si>
    <t xml:space="preserve">Cirurgia Demais Especialidades </t>
  </si>
  <si>
    <t>Reabilitação em Fisioterapia</t>
  </si>
  <si>
    <t>Pequenas Cirurgia</t>
  </si>
  <si>
    <t>PRONTO ATENDIMENTO_ URGÊNCIA E EMERGENCIA</t>
  </si>
  <si>
    <t>Tratamento Dialítico</t>
  </si>
  <si>
    <t>SERVIÇO DE AVALIAÇÃO NEUROCIRURGIA</t>
  </si>
  <si>
    <t>Programa de Intenação Domiciliar - P.I.D</t>
  </si>
  <si>
    <t>Atendimentos</t>
  </si>
  <si>
    <t>Outubro</t>
  </si>
  <si>
    <t>Novembro</t>
  </si>
  <si>
    <t>Dezembro</t>
  </si>
  <si>
    <t xml:space="preserve">             Hospital Municipal de Barueri – Dr. Francisco Moran</t>
  </si>
  <si>
    <t>SPDM – Associação Paulista para o Desenvolvimento da Medicina</t>
  </si>
  <si>
    <t>Exames SADT Externo</t>
  </si>
  <si>
    <t>Julho</t>
  </si>
  <si>
    <t>Agosto</t>
  </si>
  <si>
    <t>Setembro</t>
  </si>
  <si>
    <t>Neurologia/Avaliação neurocirurgia</t>
  </si>
  <si>
    <t>DEMONSTRATIVO (CONTRATADO X REALIZADO MENSAL) - 2º SEMESTRE 2017</t>
  </si>
  <si>
    <t>Fonte: Prestação de Contas - Secretaria Municipal de Saúde de Barueri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</si>
</sst>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R$ &quot;* #,##0.00_);_(&quot;R$ &quot;* \(#,##0.00\);_(&quot;R$ &quot;* \-??_);_(@_)"/>
    <numFmt numFmtId="165" formatCode="_(* #,##0.00_);_(* \(#,##0.00\);_(* \-??_);_(@_)"/>
    <numFmt numFmtId="166" formatCode="0.0%"/>
    <numFmt numFmtId="167" formatCode="0.000000"/>
  </numFmts>
  <fonts count="6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name val="SimSun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8"/>
      <color indexed="21"/>
      <name val="Cambria"/>
      <family val="2"/>
    </font>
    <font>
      <b/>
      <sz val="15"/>
      <color indexed="21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1"/>
      <color rgb="FF000000"/>
      <name val="Calibri"/>
      <family val="2"/>
      <charset val="1"/>
    </font>
    <font>
      <sz val="11"/>
      <color rgb="FF000000"/>
      <name val="Arial1"/>
      <charset val="1"/>
    </font>
    <font>
      <b/>
      <sz val="18"/>
      <color indexed="38"/>
      <name val="Cambria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rgb="FF000000"/>
      <name val="Arial11"/>
    </font>
    <font>
      <b/>
      <sz val="9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b/>
      <sz val="10"/>
      <color indexed="57"/>
      <name val="Arial"/>
      <family val="2"/>
    </font>
    <font>
      <sz val="11"/>
      <color rgb="FF000000"/>
      <name val="Calibri"/>
      <family val="2"/>
    </font>
    <font>
      <b/>
      <sz val="10"/>
      <color theme="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44"/>
      </patternFill>
    </fill>
    <fill>
      <patternFill patternType="solid">
        <fgColor indexed="47"/>
        <bgColor indexed="4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45"/>
      </patternFill>
    </fill>
    <fill>
      <patternFill patternType="solid">
        <fgColor theme="0"/>
        <bgColor indexed="47"/>
      </patternFill>
    </fill>
    <fill>
      <patternFill patternType="solid">
        <fgColor theme="0"/>
        <bgColor indexed="34"/>
      </patternFill>
    </fill>
  </fills>
  <borders count="10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medium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2"/>
      </right>
      <top style="medium">
        <color indexed="62"/>
      </top>
      <bottom style="thin">
        <color indexed="62"/>
      </bottom>
      <diagonal/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2"/>
      </bottom>
      <diagonal/>
    </border>
    <border>
      <left style="thin">
        <color indexed="62"/>
      </left>
      <right style="medium">
        <color indexed="62"/>
      </right>
      <top style="thin">
        <color indexed="62"/>
      </top>
      <bottom style="medium">
        <color indexed="62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 style="medium">
        <color indexed="62"/>
      </right>
      <top style="medium">
        <color indexed="62"/>
      </top>
      <bottom style="thin">
        <color indexed="62"/>
      </bottom>
      <diagonal/>
    </border>
    <border>
      <left style="medium">
        <color indexed="62"/>
      </left>
      <right style="medium">
        <color indexed="62"/>
      </right>
      <top/>
      <bottom style="medium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medium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medium">
        <color indexed="62"/>
      </left>
      <right style="thin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medium">
        <color indexed="62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medium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/>
      <top style="thin">
        <color indexed="62"/>
      </top>
      <bottom style="medium">
        <color indexed="62"/>
      </bottom>
      <diagonal/>
    </border>
    <border>
      <left/>
      <right style="medium">
        <color indexed="62"/>
      </right>
      <top style="thin">
        <color indexed="62"/>
      </top>
      <bottom style="medium">
        <color indexed="62"/>
      </bottom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 style="medium">
        <color indexed="62"/>
      </right>
      <top style="medium">
        <color indexed="62"/>
      </top>
      <bottom/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/>
      <right style="thin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indexed="62"/>
      </left>
      <right/>
      <top style="medium">
        <color indexed="62"/>
      </top>
      <bottom style="medium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2"/>
      </left>
      <right style="thin">
        <color indexed="62"/>
      </right>
      <top style="thin">
        <color indexed="62"/>
      </top>
      <bottom style="medium">
        <color indexed="62"/>
      </bottom>
      <diagonal/>
    </border>
    <border>
      <left/>
      <right/>
      <top/>
      <bottom style="medium">
        <color indexed="62"/>
      </bottom>
      <diagonal/>
    </border>
    <border>
      <left style="medium">
        <color indexed="62"/>
      </left>
      <right/>
      <top/>
      <bottom/>
      <diagonal/>
    </border>
    <border>
      <left style="medium">
        <color indexed="62"/>
      </left>
      <right/>
      <top/>
      <bottom style="medium">
        <color indexed="62"/>
      </bottom>
      <diagonal/>
    </border>
    <border>
      <left/>
      <right style="medium">
        <color indexed="62"/>
      </right>
      <top/>
      <bottom style="medium">
        <color indexed="62"/>
      </bottom>
      <diagonal/>
    </border>
    <border>
      <left style="medium">
        <color indexed="62"/>
      </left>
      <right/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2"/>
      </top>
      <bottom/>
      <diagonal/>
    </border>
    <border>
      <left style="thin">
        <color indexed="62"/>
      </left>
      <right style="medium">
        <color indexed="62"/>
      </right>
      <top style="thin">
        <color indexed="6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62"/>
      </bottom>
      <diagonal/>
    </border>
    <border>
      <left/>
      <right/>
      <top style="thin">
        <color indexed="22"/>
      </top>
      <bottom style="medium">
        <color indexed="62"/>
      </bottom>
      <diagonal/>
    </border>
    <border>
      <left/>
      <right style="thin">
        <color indexed="22"/>
      </right>
      <top style="thin">
        <color indexed="22"/>
      </top>
      <bottom style="medium">
        <color indexed="62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2"/>
      </left>
      <right style="thin">
        <color indexed="62"/>
      </right>
      <top style="medium">
        <color indexed="62"/>
      </top>
      <bottom/>
      <diagonal/>
    </border>
    <border>
      <left style="thin">
        <color indexed="62"/>
      </left>
      <right style="thin">
        <color indexed="62"/>
      </right>
      <top style="medium">
        <color indexed="62"/>
      </top>
      <bottom/>
      <diagonal/>
    </border>
    <border>
      <left style="thin">
        <color indexed="62"/>
      </left>
      <right/>
      <top style="medium">
        <color indexed="62"/>
      </top>
      <bottom/>
      <diagonal/>
    </border>
    <border>
      <left style="medium">
        <color indexed="62"/>
      </left>
      <right style="medium">
        <color indexed="62"/>
      </right>
      <top/>
      <bottom/>
      <diagonal/>
    </border>
    <border>
      <left style="thin">
        <color indexed="62"/>
      </left>
      <right/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/>
      <top/>
      <bottom style="thin">
        <color indexed="62"/>
      </bottom>
      <diagonal/>
    </border>
    <border>
      <left/>
      <right style="medium">
        <color indexed="62"/>
      </right>
      <top/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/>
      <diagonal/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medium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  <diagonal/>
    </border>
    <border>
      <left/>
      <right style="medium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2"/>
      </left>
      <right/>
      <top style="thin">
        <color indexed="62"/>
      </top>
      <bottom style="medium">
        <color indexed="62"/>
      </bottom>
      <diagonal/>
    </border>
    <border>
      <left/>
      <right style="thin">
        <color indexed="62"/>
      </right>
      <top style="thin">
        <color indexed="62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2"/>
      </bottom>
      <diagonal/>
    </border>
    <border>
      <left style="thin">
        <color indexed="62"/>
      </left>
      <right/>
      <top style="thin">
        <color indexed="62"/>
      </top>
      <bottom style="medium">
        <color indexed="62"/>
      </bottom>
      <diagonal/>
    </border>
    <border>
      <left style="medium">
        <color indexed="62"/>
      </left>
      <right style="thin">
        <color indexed="62"/>
      </right>
      <top/>
      <bottom style="medium">
        <color indexed="62"/>
      </bottom>
      <diagonal/>
    </border>
    <border>
      <left/>
      <right style="medium">
        <color indexed="62"/>
      </right>
      <top style="thin">
        <color indexed="62"/>
      </top>
      <bottom style="medium">
        <color indexed="62"/>
      </bottom>
      <diagonal/>
    </border>
    <border>
      <left style="thin">
        <color indexed="62"/>
      </left>
      <right style="medium">
        <color indexed="62"/>
      </right>
      <top style="thin">
        <color indexed="62"/>
      </top>
      <bottom style="medium">
        <color indexed="62"/>
      </bottom>
      <diagonal/>
    </border>
    <border>
      <left/>
      <right/>
      <top style="thin">
        <color indexed="62"/>
      </top>
      <bottom style="medium">
        <color indexed="62"/>
      </bottom>
      <diagonal/>
    </border>
    <border>
      <left style="medium">
        <color indexed="62"/>
      </left>
      <right style="thin">
        <color indexed="62"/>
      </right>
      <top style="thin">
        <color indexed="62"/>
      </top>
      <bottom style="medium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</borders>
  <cellStyleXfs count="202">
    <xf numFmtId="0" fontId="0" fillId="0" borderId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6" borderId="0" applyNumberFormat="0" applyBorder="0" applyAlignment="0" applyProtection="0"/>
    <xf numFmtId="0" fontId="15" fillId="18" borderId="34" applyNumberFormat="0" applyAlignment="0" applyProtection="0"/>
    <xf numFmtId="0" fontId="16" fillId="18" borderId="34" applyNumberFormat="0" applyAlignment="0" applyProtection="0"/>
    <xf numFmtId="0" fontId="15" fillId="18" borderId="34" applyNumberFormat="0" applyAlignment="0" applyProtection="0"/>
    <xf numFmtId="0" fontId="17" fillId="19" borderId="35" applyNumberFormat="0" applyAlignment="0" applyProtection="0"/>
    <xf numFmtId="0" fontId="18" fillId="19" borderId="35" applyNumberFormat="0" applyAlignment="0" applyProtection="0"/>
    <xf numFmtId="0" fontId="17" fillId="19" borderId="35" applyNumberFormat="0" applyAlignment="0" applyProtection="0"/>
    <xf numFmtId="0" fontId="19" fillId="0" borderId="36" applyNumberFormat="0" applyFill="0" applyAlignment="0" applyProtection="0"/>
    <xf numFmtId="0" fontId="20" fillId="0" borderId="36" applyNumberFormat="0" applyFill="0" applyAlignment="0" applyProtection="0"/>
    <xf numFmtId="0" fontId="19" fillId="0" borderId="36" applyNumberFormat="0" applyFill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21" fillId="9" borderId="34" applyNumberFormat="0" applyAlignment="0" applyProtection="0"/>
    <xf numFmtId="0" fontId="22" fillId="9" borderId="34" applyNumberFormat="0" applyAlignment="0" applyProtection="0"/>
    <xf numFmtId="0" fontId="21" fillId="9" borderId="34" applyNumberFormat="0" applyAlignment="0" applyProtection="0"/>
    <xf numFmtId="0" fontId="3" fillId="0" borderId="0"/>
    <xf numFmtId="0" fontId="23" fillId="5" borderId="0" applyNumberFormat="0" applyBorder="0" applyAlignment="0" applyProtection="0"/>
    <xf numFmtId="0" fontId="24" fillId="5" borderId="0" applyNumberFormat="0" applyBorder="0" applyAlignment="0" applyProtection="0"/>
    <xf numFmtId="0" fontId="23" fillId="5" borderId="0" applyNumberFormat="0" applyBorder="0" applyAlignment="0" applyProtection="0"/>
    <xf numFmtId="164" fontId="3" fillId="0" borderId="0" applyFill="0" applyBorder="0" applyAlignment="0" applyProtection="0"/>
    <xf numFmtId="0" fontId="25" fillId="24" borderId="0" applyNumberFormat="0" applyBorder="0" applyAlignment="0" applyProtection="0"/>
    <xf numFmtId="0" fontId="26" fillId="24" borderId="0" applyNumberFormat="0" applyBorder="0" applyAlignment="0" applyProtection="0"/>
    <xf numFmtId="0" fontId="25" fillId="24" borderId="0" applyNumberFormat="0" applyBorder="0" applyAlignment="0" applyProtection="0"/>
    <xf numFmtId="0" fontId="9" fillId="0" borderId="0"/>
    <xf numFmtId="0" fontId="3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25" borderId="37" applyNumberFormat="0" applyAlignment="0" applyProtection="0"/>
    <xf numFmtId="0" fontId="27" fillId="25" borderId="37" applyNumberFormat="0" applyAlignment="0" applyProtection="0"/>
    <xf numFmtId="0" fontId="9" fillId="25" borderId="37" applyNumberFormat="0" applyAlignment="0" applyProtection="0"/>
    <xf numFmtId="9" fontId="3" fillId="0" borderId="0" applyFill="0" applyBorder="0" applyAlignment="0" applyProtection="0"/>
    <xf numFmtId="9" fontId="3" fillId="0" borderId="0" applyFill="0" applyAlignment="0" applyProtection="0"/>
    <xf numFmtId="0" fontId="28" fillId="18" borderId="38" applyNumberFormat="0" applyAlignment="0" applyProtection="0"/>
    <xf numFmtId="0" fontId="29" fillId="18" borderId="38" applyNumberFormat="0" applyAlignment="0" applyProtection="0"/>
    <xf numFmtId="0" fontId="28" fillId="18" borderId="38" applyNumberFormat="0" applyAlignment="0" applyProtection="0"/>
    <xf numFmtId="165" fontId="3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0" applyNumberFormat="0" applyFill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40" fillId="0" borderId="41" applyNumberFormat="0" applyFill="0" applyAlignment="0" applyProtection="0"/>
    <xf numFmtId="0" fontId="41" fillId="0" borderId="41" applyNumberFormat="0" applyFill="0" applyAlignment="0" applyProtection="0"/>
    <xf numFmtId="0" fontId="40" fillId="0" borderId="41" applyNumberFormat="0" applyFill="0" applyAlignment="0" applyProtection="0"/>
    <xf numFmtId="0" fontId="42" fillId="0" borderId="42" applyNumberFormat="0" applyFill="0" applyAlignment="0" applyProtection="0"/>
    <xf numFmtId="0" fontId="43" fillId="0" borderId="42" applyNumberFormat="0" applyFill="0" applyAlignment="0" applyProtection="0"/>
    <xf numFmtId="0" fontId="42" fillId="0" borderId="42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4" fillId="0" borderId="43" applyNumberFormat="0" applyFill="0" applyAlignment="0" applyProtection="0"/>
    <xf numFmtId="0" fontId="45" fillId="0" borderId="43" applyNumberFormat="0" applyFill="0" applyAlignment="0" applyProtection="0"/>
    <xf numFmtId="0" fontId="44" fillId="0" borderId="43" applyNumberFormat="0" applyFill="0" applyAlignment="0" applyProtection="0"/>
    <xf numFmtId="9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0" fontId="3" fillId="0" borderId="0"/>
    <xf numFmtId="0" fontId="53" fillId="0" borderId="0"/>
    <xf numFmtId="9" fontId="3" fillId="0" borderId="0" applyFill="0" applyBorder="0" applyAlignment="0" applyProtection="0"/>
    <xf numFmtId="9" fontId="3" fillId="0" borderId="0" applyFill="0" applyAlignment="0" applyProtection="0"/>
    <xf numFmtId="0" fontId="54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8" fillId="0" borderId="0"/>
    <xf numFmtId="0" fontId="2" fillId="0" borderId="0"/>
    <xf numFmtId="0" fontId="1" fillId="0" borderId="0"/>
    <xf numFmtId="0" fontId="3" fillId="0" borderId="0"/>
    <xf numFmtId="9" fontId="61" fillId="0" borderId="0" applyFill="0" applyBorder="0" applyAlignment="0" applyProtection="0"/>
    <xf numFmtId="0" fontId="61" fillId="0" borderId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3" fillId="0" borderId="0" applyFill="0" applyAlignment="0" applyProtection="0"/>
    <xf numFmtId="9" fontId="3" fillId="0" borderId="0" applyFill="0" applyAlignment="0" applyProtection="0"/>
    <xf numFmtId="9" fontId="3" fillId="0" borderId="0" applyFill="0" applyAlignment="0" applyProtection="0"/>
    <xf numFmtId="9" fontId="3" fillId="0" borderId="0" applyFill="0" applyAlignment="0" applyProtection="0"/>
    <xf numFmtId="9" fontId="3" fillId="0" borderId="0" applyFont="0" applyFill="0" applyBorder="0" applyAlignment="0" applyProtection="0"/>
    <xf numFmtId="9" fontId="3" fillId="0" borderId="0" applyFill="0" applyAlignment="0" applyProtection="0"/>
    <xf numFmtId="9" fontId="3" fillId="0" borderId="0" applyFill="0" applyAlignment="0" applyProtection="0"/>
    <xf numFmtId="9" fontId="3" fillId="0" borderId="0" applyFill="0" applyAlignment="0" applyProtection="0"/>
    <xf numFmtId="9" fontId="3" fillId="0" borderId="0" applyFill="0" applyAlignment="0" applyProtection="0"/>
    <xf numFmtId="9" fontId="3" fillId="0" borderId="0" applyFill="0" applyAlignment="0" applyProtection="0"/>
  </cellStyleXfs>
  <cellXfs count="563">
    <xf numFmtId="0" fontId="0" fillId="0" borderId="0" xfId="0"/>
    <xf numFmtId="0" fontId="4" fillId="0" borderId="0" xfId="0" applyFont="1"/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5" fillId="0" borderId="0" xfId="0" applyFont="1"/>
    <xf numFmtId="0" fontId="7" fillId="0" borderId="0" xfId="0" applyFont="1" applyFill="1" applyAlignment="1" applyProtection="1">
      <alignment horizontal="right" indent="1"/>
      <protection hidden="1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 hidden="1"/>
    </xf>
    <xf numFmtId="0" fontId="8" fillId="0" borderId="0" xfId="0" applyFont="1" applyFill="1" applyAlignment="1" applyProtection="1">
      <alignment horizontal="right"/>
      <protection hidden="1"/>
    </xf>
    <xf numFmtId="49" fontId="4" fillId="0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/>
    <xf numFmtId="0" fontId="4" fillId="0" borderId="0" xfId="0" applyFont="1" applyFill="1" applyAlignment="1" applyProtection="1">
      <alignment wrapText="1"/>
      <protection hidden="1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8" fillId="0" borderId="6" xfId="0" applyFont="1" applyFill="1" applyBorder="1" applyAlignment="1" applyProtection="1">
      <alignment horizontal="center" wrapText="1"/>
      <protection hidden="1"/>
    </xf>
    <xf numFmtId="0" fontId="8" fillId="0" borderId="7" xfId="0" applyFont="1" applyFill="1" applyBorder="1" applyAlignment="1" applyProtection="1">
      <alignment horizontal="center" vertical="center" wrapText="1"/>
      <protection hidden="1"/>
    </xf>
    <xf numFmtId="0" fontId="8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8" fillId="3" borderId="10" xfId="0" applyFont="1" applyFill="1" applyBorder="1" applyAlignment="1" applyProtection="1">
      <alignment horizont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4" fillId="3" borderId="10" xfId="0" applyFont="1" applyFill="1" applyBorder="1" applyAlignment="1" applyProtection="1">
      <alignment horizontal="center" wrapText="1"/>
      <protection locked="0"/>
    </xf>
    <xf numFmtId="3" fontId="8" fillId="3" borderId="12" xfId="0" applyNumberFormat="1" applyFont="1" applyFill="1" applyBorder="1" applyAlignment="1" applyProtection="1">
      <alignment horizontal="left" vertical="center" wrapText="1"/>
      <protection hidden="1"/>
    </xf>
    <xf numFmtId="3" fontId="8" fillId="3" borderId="12" xfId="0" applyNumberFormat="1" applyFont="1" applyFill="1" applyBorder="1" applyAlignment="1" applyProtection="1">
      <alignment horizontal="center" vertical="center" wrapText="1"/>
      <protection hidden="1"/>
    </xf>
    <xf numFmtId="3" fontId="8" fillId="3" borderId="13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0" xfId="0" applyNumberFormat="1" applyFont="1"/>
    <xf numFmtId="0" fontId="8" fillId="0" borderId="15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/>
    <xf numFmtId="2" fontId="8" fillId="0" borderId="0" xfId="0" applyNumberFormat="1" applyFont="1" applyFill="1" applyBorder="1"/>
    <xf numFmtId="0" fontId="4" fillId="0" borderId="25" xfId="0" applyFont="1" applyBorder="1"/>
    <xf numFmtId="0" fontId="8" fillId="3" borderId="24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30" xfId="0" applyFont="1" applyFill="1" applyBorder="1" applyAlignment="1" applyProtection="1">
      <alignment horizontal="center" vertical="center" wrapText="1"/>
      <protection hidden="1"/>
    </xf>
    <xf numFmtId="0" fontId="4" fillId="0" borderId="7" xfId="0" applyFont="1" applyFill="1" applyBorder="1" applyAlignment="1" applyProtection="1">
      <alignment horizontal="center" vertical="center" wrapText="1"/>
      <protection hidden="1"/>
    </xf>
    <xf numFmtId="0" fontId="8" fillId="2" borderId="24" xfId="0" applyFont="1" applyFill="1" applyBorder="1" applyAlignment="1" applyProtection="1">
      <alignment horizontal="center" vertical="center" wrapText="1"/>
      <protection locked="0"/>
    </xf>
    <xf numFmtId="3" fontId="4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3" fontId="8" fillId="3" borderId="31" xfId="0" applyNumberFormat="1" applyFont="1" applyFill="1" applyBorder="1" applyAlignment="1" applyProtection="1">
      <alignment horizontal="center" wrapText="1"/>
      <protection hidden="1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0" fontId="8" fillId="0" borderId="3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3" fontId="8" fillId="0" borderId="0" xfId="0" applyNumberFormat="1" applyFont="1" applyFill="1" applyBorder="1" applyAlignment="1" applyProtection="1">
      <alignment horizontal="right" wrapText="1"/>
      <protection hidden="1"/>
    </xf>
    <xf numFmtId="0" fontId="4" fillId="0" borderId="10" xfId="0" applyFont="1" applyFill="1" applyBorder="1" applyAlignment="1" applyProtection="1">
      <alignment horizontal="center" wrapText="1"/>
      <protection hidden="1"/>
    </xf>
    <xf numFmtId="0" fontId="8" fillId="3" borderId="24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wrapText="1"/>
    </xf>
    <xf numFmtId="3" fontId="4" fillId="0" borderId="11" xfId="0" applyNumberFormat="1" applyFont="1" applyFill="1" applyBorder="1" applyAlignment="1" applyProtection="1">
      <alignment horizontal="center" wrapText="1"/>
      <protection locked="0"/>
    </xf>
    <xf numFmtId="0" fontId="4" fillId="0" borderId="11" xfId="0" applyFont="1" applyFill="1" applyBorder="1" applyAlignment="1" applyProtection="1">
      <alignment horizontal="center" wrapText="1"/>
      <protection locked="0"/>
    </xf>
    <xf numFmtId="0" fontId="4" fillId="0" borderId="44" xfId="0" applyFont="1" applyBorder="1"/>
    <xf numFmtId="0" fontId="46" fillId="0" borderId="0" xfId="0" applyFont="1" applyProtection="1">
      <protection hidden="1"/>
    </xf>
    <xf numFmtId="0" fontId="46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Fill="1" applyAlignment="1" applyProtection="1"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Fill="1" applyAlignment="1" applyProtection="1">
      <alignment horizontal="right"/>
      <protection hidden="1"/>
    </xf>
    <xf numFmtId="0" fontId="46" fillId="0" borderId="45" xfId="0" applyFont="1" applyBorder="1" applyAlignment="1">
      <alignment horizontal="center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47" fillId="0" borderId="0" xfId="0" applyFont="1" applyBorder="1" applyAlignment="1">
      <alignment horizontal="right"/>
    </xf>
    <xf numFmtId="0" fontId="47" fillId="0" borderId="5" xfId="0" applyFont="1" applyFill="1" applyBorder="1" applyAlignment="1">
      <alignment horizontal="right"/>
    </xf>
    <xf numFmtId="0" fontId="47" fillId="0" borderId="28" xfId="0" applyFont="1" applyFill="1" applyBorder="1" applyAlignment="1"/>
    <xf numFmtId="1" fontId="47" fillId="0" borderId="0" xfId="0" applyNumberFormat="1" applyFont="1" applyFill="1" applyBorder="1" applyAlignment="1">
      <alignment horizontal="right"/>
    </xf>
    <xf numFmtId="0" fontId="47" fillId="0" borderId="46" xfId="0" applyFont="1" applyFill="1" applyBorder="1" applyAlignment="1"/>
    <xf numFmtId="0" fontId="4" fillId="0" borderId="0" xfId="0" applyFont="1" applyFill="1" applyBorder="1" applyAlignment="1" applyProtection="1">
      <alignment horizontal="right" vertical="center" wrapText="1"/>
      <protection hidden="1"/>
    </xf>
    <xf numFmtId="0" fontId="47" fillId="0" borderId="47" xfId="0" applyFont="1" applyFill="1" applyBorder="1" applyAlignment="1"/>
    <xf numFmtId="0" fontId="47" fillId="0" borderId="47" xfId="0" applyFont="1" applyFill="1" applyBorder="1" applyAlignment="1">
      <alignment wrapText="1"/>
    </xf>
    <xf numFmtId="14" fontId="8" fillId="3" borderId="5" xfId="0" applyNumberFormat="1" applyFont="1" applyFill="1" applyBorder="1" applyAlignment="1" applyProtection="1">
      <alignment horizontal="right" vertical="center" wrapText="1"/>
      <protection hidden="1"/>
    </xf>
    <xf numFmtId="14" fontId="8" fillId="0" borderId="0" xfId="0" applyNumberFormat="1" applyFont="1" applyFill="1" applyBorder="1" applyAlignment="1" applyProtection="1">
      <alignment horizontal="left" wrapText="1"/>
      <protection hidden="1"/>
    </xf>
    <xf numFmtId="0" fontId="48" fillId="0" borderId="0" xfId="0" applyFont="1" applyBorder="1" applyAlignment="1"/>
    <xf numFmtId="0" fontId="4" fillId="0" borderId="0" xfId="0" applyFont="1" applyFill="1"/>
    <xf numFmtId="3" fontId="4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wrapText="1"/>
      <protection hidden="1"/>
    </xf>
    <xf numFmtId="0" fontId="8" fillId="0" borderId="45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wrapText="1"/>
      <protection hidden="1"/>
    </xf>
    <xf numFmtId="0" fontId="47" fillId="0" borderId="0" xfId="0" applyFont="1" applyBorder="1" applyAlignment="1">
      <alignment wrapText="1"/>
    </xf>
    <xf numFmtId="0" fontId="47" fillId="0" borderId="46" xfId="0" applyFont="1" applyFill="1" applyBorder="1" applyAlignment="1">
      <alignment wrapText="1"/>
    </xf>
    <xf numFmtId="0" fontId="47" fillId="0" borderId="46" xfId="0" applyFont="1" applyFill="1" applyBorder="1"/>
    <xf numFmtId="3" fontId="8" fillId="3" borderId="5" xfId="0" applyNumberFormat="1" applyFont="1" applyFill="1" applyBorder="1" applyAlignment="1" applyProtection="1">
      <alignment horizontal="center" wrapText="1"/>
      <protection hidden="1"/>
    </xf>
    <xf numFmtId="0" fontId="4" fillId="0" borderId="45" xfId="0" applyFont="1" applyFill="1" applyBorder="1" applyAlignment="1" applyProtection="1">
      <alignment horizontal="left" wrapText="1"/>
      <protection hidden="1"/>
    </xf>
    <xf numFmtId="0" fontId="8" fillId="0" borderId="45" xfId="0" applyFont="1" applyFill="1" applyBorder="1" applyAlignment="1" applyProtection="1">
      <alignment horizontal="right" wrapText="1"/>
      <protection hidden="1"/>
    </xf>
    <xf numFmtId="3" fontId="3" fillId="0" borderId="0" xfId="0" applyNumberFormat="1" applyFont="1" applyBorder="1" applyAlignment="1">
      <alignment horizontal="left" vertical="center" shrinkToFit="1"/>
    </xf>
    <xf numFmtId="3" fontId="3" fillId="0" borderId="0" xfId="0" applyNumberFormat="1" applyFont="1" applyFill="1" applyBorder="1" applyAlignment="1">
      <alignment horizontal="center" vertical="center" shrinkToFit="1"/>
    </xf>
    <xf numFmtId="0" fontId="46" fillId="0" borderId="3" xfId="0" applyFont="1" applyFill="1" applyBorder="1" applyAlignment="1"/>
    <xf numFmtId="0" fontId="47" fillId="0" borderId="0" xfId="0" applyFont="1" applyFill="1" applyBorder="1" applyAlignment="1"/>
    <xf numFmtId="0" fontId="4" fillId="0" borderId="46" xfId="0" applyFont="1" applyBorder="1" applyAlignment="1" applyProtection="1">
      <alignment horizontal="left" vertical="center" wrapText="1"/>
      <protection hidden="1"/>
    </xf>
    <xf numFmtId="0" fontId="4" fillId="0" borderId="46" xfId="0" applyFont="1" applyFill="1" applyBorder="1"/>
    <xf numFmtId="0" fontId="46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right" wrapText="1"/>
      <protection hidden="1"/>
    </xf>
    <xf numFmtId="0" fontId="47" fillId="0" borderId="0" xfId="0" applyFont="1" applyFill="1" applyBorder="1" applyAlignment="1">
      <alignment horizontal="right"/>
    </xf>
    <xf numFmtId="0" fontId="3" fillId="0" borderId="0" xfId="0" applyFont="1" applyBorder="1" applyAlignment="1">
      <alignment vertical="center" shrinkToFit="1"/>
    </xf>
    <xf numFmtId="0" fontId="50" fillId="0" borderId="0" xfId="0" applyFont="1" applyFill="1" applyBorder="1" applyAlignment="1" applyProtection="1">
      <alignment horizontal="left" vertical="top"/>
      <protection hidden="1"/>
    </xf>
    <xf numFmtId="0" fontId="8" fillId="3" borderId="48" xfId="0" applyFont="1" applyFill="1" applyBorder="1" applyAlignment="1" applyProtection="1">
      <alignment horizontal="center" wrapText="1"/>
      <protection hidden="1"/>
    </xf>
    <xf numFmtId="0" fontId="47" fillId="0" borderId="22" xfId="0" applyFont="1" applyBorder="1" applyAlignment="1">
      <alignment horizontal="right" wrapText="1"/>
    </xf>
    <xf numFmtId="0" fontId="47" fillId="0" borderId="23" xfId="0" applyFont="1" applyFill="1" applyBorder="1" applyAlignment="1">
      <alignment horizontal="right"/>
    </xf>
    <xf numFmtId="0" fontId="47" fillId="0" borderId="6" xfId="0" applyFont="1" applyBorder="1" applyAlignment="1"/>
    <xf numFmtId="3" fontId="47" fillId="0" borderId="7" xfId="0" applyNumberFormat="1" applyFont="1" applyFill="1" applyBorder="1" applyAlignment="1">
      <alignment horizontal="center"/>
    </xf>
    <xf numFmtId="0" fontId="47" fillId="0" borderId="7" xfId="0" applyFont="1" applyFill="1" applyBorder="1" applyAlignment="1">
      <alignment horizontal="center"/>
    </xf>
    <xf numFmtId="0" fontId="8" fillId="3" borderId="22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47" fillId="0" borderId="0" xfId="0" applyFont="1" applyBorder="1" applyAlignment="1"/>
    <xf numFmtId="0" fontId="47" fillId="0" borderId="49" xfId="0" applyFont="1" applyFill="1" applyBorder="1" applyAlignment="1">
      <alignment wrapText="1"/>
    </xf>
    <xf numFmtId="0" fontId="47" fillId="0" borderId="50" xfId="0" applyFont="1" applyFill="1" applyBorder="1" applyAlignment="1">
      <alignment wrapText="1"/>
    </xf>
    <xf numFmtId="0" fontId="47" fillId="0" borderId="7" xfId="0" applyFont="1" applyFill="1" applyBorder="1" applyAlignment="1">
      <alignment wrapText="1"/>
    </xf>
    <xf numFmtId="0" fontId="47" fillId="0" borderId="7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wrapText="1"/>
    </xf>
    <xf numFmtId="0" fontId="47" fillId="0" borderId="8" xfId="0" applyFont="1" applyFill="1" applyBorder="1" applyAlignment="1">
      <alignment horizontal="right" wrapText="1"/>
    </xf>
    <xf numFmtId="0" fontId="8" fillId="3" borderId="23" xfId="0" applyFont="1" applyFill="1" applyBorder="1" applyAlignment="1" applyProtection="1">
      <alignment horizontal="right" wrapText="1"/>
      <protection hidden="1"/>
    </xf>
    <xf numFmtId="0" fontId="8" fillId="3" borderId="23" xfId="0" applyFont="1" applyFill="1" applyBorder="1" applyAlignment="1" applyProtection="1">
      <alignment horizontal="center" wrapText="1"/>
      <protection hidden="1"/>
    </xf>
    <xf numFmtId="0" fontId="8" fillId="3" borderId="31" xfId="0" applyFont="1" applyFill="1" applyBorder="1" applyAlignment="1" applyProtection="1">
      <alignment horizontal="center" wrapText="1"/>
      <protection hidden="1"/>
    </xf>
    <xf numFmtId="0" fontId="4" fillId="0" borderId="52" xfId="0" applyFont="1" applyBorder="1" applyAlignment="1">
      <alignment horizontal="left"/>
    </xf>
    <xf numFmtId="0" fontId="50" fillId="0" borderId="0" xfId="0" applyFont="1" applyBorder="1"/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>
      <alignment horizontal="left"/>
    </xf>
    <xf numFmtId="0" fontId="8" fillId="0" borderId="53" xfId="0" applyFont="1" applyFill="1" applyBorder="1" applyAlignment="1" applyProtection="1">
      <alignment horizontal="right" wrapText="1"/>
      <protection hidden="1"/>
    </xf>
    <xf numFmtId="0" fontId="47" fillId="0" borderId="4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wrapText="1"/>
    </xf>
    <xf numFmtId="0" fontId="50" fillId="0" borderId="0" xfId="0" applyFont="1" applyFill="1" applyBorder="1"/>
    <xf numFmtId="0" fontId="51" fillId="0" borderId="0" xfId="0" applyFont="1" applyBorder="1"/>
    <xf numFmtId="0" fontId="0" fillId="26" borderId="0" xfId="0" applyFont="1" applyFill="1" applyProtection="1"/>
    <xf numFmtId="0" fontId="0" fillId="26" borderId="0" xfId="0" applyFont="1" applyFill="1" applyAlignment="1" applyProtection="1">
      <alignment horizontal="center"/>
    </xf>
    <xf numFmtId="0" fontId="0" fillId="0" borderId="0" xfId="0" applyFont="1" applyProtection="1"/>
    <xf numFmtId="0" fontId="49" fillId="26" borderId="0" xfId="0" applyFont="1" applyFill="1" applyAlignment="1" applyProtection="1">
      <alignment horizontal="center"/>
    </xf>
    <xf numFmtId="0" fontId="49" fillId="0" borderId="0" xfId="0" applyFont="1" applyProtection="1"/>
    <xf numFmtId="0" fontId="49" fillId="0" borderId="37" xfId="0" applyFont="1" applyBorder="1" applyAlignment="1" applyProtection="1">
      <alignment horizontal="center"/>
    </xf>
    <xf numFmtId="0" fontId="49" fillId="0" borderId="0" xfId="0" applyFont="1" applyAlignment="1" applyProtection="1">
      <alignment horizontal="center"/>
    </xf>
    <xf numFmtId="0" fontId="0" fillId="0" borderId="37" xfId="0" applyFont="1" applyBorder="1" applyProtection="1"/>
    <xf numFmtId="3" fontId="0" fillId="0" borderId="37" xfId="0" applyNumberFormat="1" applyFont="1" applyBorder="1" applyAlignment="1" applyProtection="1">
      <alignment horizontal="center"/>
    </xf>
    <xf numFmtId="0" fontId="0" fillId="0" borderId="37" xfId="0" applyFont="1" applyBorder="1" applyAlignment="1" applyProtection="1">
      <alignment horizontal="center"/>
    </xf>
    <xf numFmtId="10" fontId="3" fillId="0" borderId="37" xfId="105" applyNumberFormat="1" applyBorder="1" applyAlignment="1" applyProtection="1">
      <alignment horizontal="center"/>
    </xf>
    <xf numFmtId="0" fontId="0" fillId="0" borderId="37" xfId="0" applyFont="1" applyFill="1" applyBorder="1" applyAlignment="1" applyProtection="1">
      <alignment horizontal="center"/>
    </xf>
    <xf numFmtId="0" fontId="0" fillId="0" borderId="37" xfId="0" applyBorder="1" applyProtection="1"/>
    <xf numFmtId="3" fontId="0" fillId="0" borderId="37" xfId="0" applyNumberFormat="1" applyFont="1" applyFill="1" applyBorder="1" applyAlignment="1" applyProtection="1">
      <alignment horizontal="center"/>
    </xf>
    <xf numFmtId="3" fontId="0" fillId="0" borderId="0" xfId="0" applyNumberFormat="1" applyFont="1" applyProtection="1"/>
    <xf numFmtId="0" fontId="0" fillId="0" borderId="0" xfId="0" applyFont="1" applyAlignment="1" applyProtection="1">
      <alignment horizontal="center"/>
    </xf>
    <xf numFmtId="3" fontId="49" fillId="0" borderId="37" xfId="0" applyNumberFormat="1" applyFont="1" applyBorder="1" applyAlignment="1" applyProtection="1">
      <alignment horizontal="center"/>
    </xf>
    <xf numFmtId="0" fontId="0" fillId="0" borderId="37" xfId="0" applyFont="1" applyBorder="1" applyAlignment="1" applyProtection="1">
      <alignment horizontal="left"/>
    </xf>
    <xf numFmtId="10" fontId="49" fillId="0" borderId="37" xfId="105" applyNumberFormat="1" applyFont="1" applyBorder="1" applyAlignment="1" applyProtection="1">
      <alignment horizontal="center"/>
    </xf>
    <xf numFmtId="1" fontId="0" fillId="0" borderId="37" xfId="105" applyNumberFormat="1" applyFont="1" applyBorder="1" applyAlignment="1" applyProtection="1">
      <alignment horizontal="center"/>
    </xf>
    <xf numFmtId="1" fontId="3" fillId="0" borderId="37" xfId="105" applyNumberFormat="1" applyFont="1" applyFill="1" applyBorder="1" applyAlignment="1" applyProtection="1">
      <alignment horizontal="center"/>
    </xf>
    <xf numFmtId="9" fontId="49" fillId="0" borderId="37" xfId="105" applyFont="1" applyBorder="1" applyAlignment="1" applyProtection="1">
      <alignment horizontal="center"/>
    </xf>
    <xf numFmtId="3" fontId="0" fillId="26" borderId="37" xfId="0" applyNumberFormat="1" applyFont="1" applyFill="1" applyBorder="1" applyAlignment="1" applyProtection="1">
      <alignment horizontal="center"/>
    </xf>
    <xf numFmtId="1" fontId="3" fillId="26" borderId="37" xfId="105" applyNumberFormat="1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26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Fill="1" applyBorder="1" applyAlignment="1" applyProtection="1">
      <alignment horizontal="center" wrapText="1"/>
      <protection hidden="1"/>
    </xf>
    <xf numFmtId="0" fontId="49" fillId="26" borderId="0" xfId="0" applyFont="1" applyFill="1" applyBorder="1" applyAlignment="1" applyProtection="1">
      <alignment horizontal="center"/>
    </xf>
    <xf numFmtId="0" fontId="0" fillId="26" borderId="0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46" fillId="0" borderId="0" xfId="0" applyFont="1" applyBorder="1" applyAlignment="1">
      <alignment horizontal="center"/>
    </xf>
    <xf numFmtId="0" fontId="47" fillId="0" borderId="49" xfId="0" applyFont="1" applyFill="1" applyBorder="1" applyAlignment="1">
      <alignment horizontal="left" wrapText="1"/>
    </xf>
    <xf numFmtId="0" fontId="47" fillId="0" borderId="50" xfId="0" applyFont="1" applyFill="1" applyBorder="1" applyAlignment="1">
      <alignment horizontal="left" wrapText="1"/>
    </xf>
    <xf numFmtId="0" fontId="50" fillId="0" borderId="0" xfId="0" applyFont="1" applyFill="1" applyBorder="1" applyAlignment="1">
      <alignment horizontal="left" wrapText="1"/>
    </xf>
    <xf numFmtId="0" fontId="47" fillId="0" borderId="50" xfId="0" applyFont="1" applyBorder="1" applyAlignment="1">
      <alignment horizontal="left" wrapText="1"/>
    </xf>
    <xf numFmtId="0" fontId="46" fillId="0" borderId="3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 wrapText="1"/>
    </xf>
    <xf numFmtId="0" fontId="47" fillId="0" borderId="30" xfId="0" applyFont="1" applyFill="1" applyBorder="1" applyAlignment="1">
      <alignment horizontal="center" wrapText="1"/>
    </xf>
    <xf numFmtId="0" fontId="47" fillId="0" borderId="16" xfId="0" applyFont="1" applyFill="1" applyBorder="1" applyAlignment="1">
      <alignment horizontal="center" vertical="center" wrapText="1"/>
    </xf>
    <xf numFmtId="0" fontId="46" fillId="0" borderId="0" xfId="0" applyFont="1" applyBorder="1" applyAlignment="1" applyProtection="1">
      <alignment horizontal="center" vertical="center" wrapText="1"/>
      <protection hidden="1"/>
    </xf>
    <xf numFmtId="0" fontId="47" fillId="0" borderId="0" xfId="0" applyFont="1" applyFill="1" applyBorder="1" applyAlignment="1">
      <alignment horizontal="left"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65" xfId="0" applyFont="1" applyFill="1" applyBorder="1" applyAlignment="1" applyProtection="1">
      <alignment wrapText="1"/>
      <protection hidden="1"/>
    </xf>
    <xf numFmtId="0" fontId="8" fillId="0" borderId="66" xfId="0" applyFont="1" applyFill="1" applyBorder="1" applyAlignment="1" applyProtection="1">
      <alignment horizontal="center" vertical="center" wrapText="1"/>
      <protection hidden="1"/>
    </xf>
    <xf numFmtId="0" fontId="8" fillId="0" borderId="67" xfId="0" applyFont="1" applyFill="1" applyBorder="1" applyAlignment="1" applyProtection="1">
      <alignment horizontal="center" vertical="center" wrapText="1"/>
      <protection hidden="1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24" xfId="0" applyNumberFormat="1" applyFont="1" applyFill="1" applyBorder="1" applyAlignment="1" applyProtection="1">
      <alignment horizontal="center" wrapText="1"/>
      <protection hidden="1"/>
    </xf>
    <xf numFmtId="2" fontId="8" fillId="3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8" fillId="3" borderId="24" xfId="0" applyFont="1" applyFill="1" applyBorder="1"/>
    <xf numFmtId="3" fontId="8" fillId="3" borderId="24" xfId="0" applyNumberFormat="1" applyFont="1" applyFill="1" applyBorder="1" applyAlignment="1">
      <alignment horizontal="center"/>
    </xf>
    <xf numFmtId="3" fontId="8" fillId="3" borderId="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70" xfId="0" applyFont="1" applyFill="1" applyBorder="1" applyAlignment="1" applyProtection="1">
      <alignment horizontal="center" vertical="center" wrapText="1"/>
      <protection hidden="1"/>
    </xf>
    <xf numFmtId="0" fontId="8" fillId="0" borderId="72" xfId="0" applyFont="1" applyFill="1" applyBorder="1" applyAlignment="1" applyProtection="1">
      <alignment horizontal="center" wrapText="1"/>
      <protection hidden="1"/>
    </xf>
    <xf numFmtId="0" fontId="4" fillId="0" borderId="20" xfId="0" applyFont="1" applyFill="1" applyBorder="1" applyAlignment="1" applyProtection="1">
      <alignment horizontal="center" wrapText="1"/>
      <protection hidden="1"/>
    </xf>
    <xf numFmtId="0" fontId="4" fillId="0" borderId="73" xfId="0" applyFont="1" applyFill="1" applyBorder="1" applyAlignment="1" applyProtection="1">
      <alignment horizontal="center" wrapText="1"/>
      <protection hidden="1"/>
    </xf>
    <xf numFmtId="0" fontId="4" fillId="0" borderId="12" xfId="0" applyFont="1" applyFill="1" applyBorder="1" applyAlignment="1" applyProtection="1">
      <alignment horizontal="center" wrapText="1"/>
      <protection hidden="1"/>
    </xf>
    <xf numFmtId="3" fontId="8" fillId="3" borderId="24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wrapText="1"/>
      <protection hidden="1"/>
    </xf>
    <xf numFmtId="0" fontId="8" fillId="0" borderId="31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wrapText="1"/>
      <protection hidden="1"/>
    </xf>
    <xf numFmtId="0" fontId="8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0" xfId="0" applyNumberFormat="1" applyFont="1" applyFill="1" applyBorder="1" applyAlignment="1" applyProtection="1">
      <alignment horizontal="center" wrapText="1"/>
      <protection hidden="1"/>
    </xf>
    <xf numFmtId="0" fontId="8" fillId="0" borderId="0" xfId="0" applyFont="1" applyFill="1" applyBorder="1" applyAlignment="1" applyProtection="1">
      <alignment vertical="center"/>
      <protection locked="0"/>
    </xf>
    <xf numFmtId="0" fontId="4" fillId="29" borderId="10" xfId="0" applyFont="1" applyFill="1" applyBorder="1" applyAlignment="1" applyProtection="1">
      <alignment horizontal="center" wrapText="1"/>
      <protection locked="0"/>
    </xf>
    <xf numFmtId="0" fontId="4" fillId="0" borderId="25" xfId="0" applyFont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3" fontId="8" fillId="3" borderId="14" xfId="0" applyNumberFormat="1" applyFont="1" applyFill="1" applyBorder="1" applyAlignment="1" applyProtection="1">
      <alignment horizontal="center" vertical="center" wrapText="1"/>
      <protection hidden="1"/>
    </xf>
    <xf numFmtId="2" fontId="8" fillId="3" borderId="18" xfId="0" applyNumberFormat="1" applyFont="1" applyFill="1" applyBorder="1" applyAlignment="1">
      <alignment horizontal="center" vertical="center"/>
    </xf>
    <xf numFmtId="0" fontId="4" fillId="26" borderId="51" xfId="0" applyFont="1" applyFill="1" applyBorder="1" applyAlignment="1" applyProtection="1">
      <alignment horizontal="center" wrapText="1"/>
      <protection hidden="1"/>
    </xf>
    <xf numFmtId="0" fontId="4" fillId="26" borderId="10" xfId="0" applyFont="1" applyFill="1" applyBorder="1" applyAlignment="1" applyProtection="1">
      <alignment horizontal="center" wrapText="1"/>
      <protection hidden="1"/>
    </xf>
    <xf numFmtId="0" fontId="4" fillId="26" borderId="20" xfId="0" applyFont="1" applyFill="1" applyBorder="1" applyAlignment="1" applyProtection="1">
      <alignment horizontal="center" wrapText="1"/>
      <protection hidden="1"/>
    </xf>
    <xf numFmtId="0" fontId="4" fillId="26" borderId="73" xfId="0" applyFont="1" applyFill="1" applyBorder="1" applyAlignment="1" applyProtection="1">
      <alignment horizontal="center" wrapText="1"/>
      <protection hidden="1"/>
    </xf>
    <xf numFmtId="0" fontId="4" fillId="26" borderId="12" xfId="0" applyFont="1" applyFill="1" applyBorder="1" applyAlignment="1" applyProtection="1">
      <alignment horizontal="center" wrapText="1"/>
      <protection hidden="1"/>
    </xf>
    <xf numFmtId="3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37" xfId="0" applyFont="1" applyBorder="1" applyAlignment="1" applyProtection="1">
      <alignment horizontal="right"/>
    </xf>
    <xf numFmtId="10" fontId="0" fillId="0" borderId="0" xfId="151" applyNumberFormat="1" applyFont="1" applyProtection="1"/>
    <xf numFmtId="2" fontId="0" fillId="0" borderId="0" xfId="0" applyNumberFormat="1" applyFont="1" applyProtection="1"/>
    <xf numFmtId="9" fontId="0" fillId="0" borderId="0" xfId="151" applyNumberFormat="1" applyFont="1" applyProtection="1"/>
    <xf numFmtId="0" fontId="47" fillId="0" borderId="29" xfId="0" applyFont="1" applyFill="1" applyBorder="1" applyAlignment="1">
      <alignment horizontal="right"/>
    </xf>
    <xf numFmtId="1" fontId="8" fillId="3" borderId="5" xfId="0" applyNumberFormat="1" applyFont="1" applyFill="1" applyBorder="1" applyAlignment="1" applyProtection="1">
      <alignment horizontal="center" wrapText="1"/>
      <protection hidden="1"/>
    </xf>
    <xf numFmtId="0" fontId="8" fillId="0" borderId="5" xfId="0" applyFont="1" applyFill="1" applyBorder="1" applyAlignment="1" applyProtection="1">
      <alignment horizontal="right" wrapText="1"/>
      <protection hidden="1"/>
    </xf>
    <xf numFmtId="14" fontId="8" fillId="3" borderId="5" xfId="0" applyNumberFormat="1" applyFont="1" applyFill="1" applyBorder="1" applyAlignment="1" applyProtection="1">
      <alignment vertical="center" wrapText="1"/>
      <protection hidden="1"/>
    </xf>
    <xf numFmtId="0" fontId="49" fillId="0" borderId="3" xfId="0" applyFont="1" applyFill="1" applyBorder="1" applyAlignment="1"/>
    <xf numFmtId="0" fontId="8" fillId="0" borderId="47" xfId="0" applyFont="1" applyFill="1" applyBorder="1" applyAlignment="1" applyProtection="1">
      <alignment horizontal="left" wrapText="1"/>
      <protection hidden="1"/>
    </xf>
    <xf numFmtId="0" fontId="46" fillId="0" borderId="47" xfId="0" applyFont="1" applyFill="1" applyBorder="1" applyAlignment="1"/>
    <xf numFmtId="0" fontId="47" fillId="0" borderId="28" xfId="0" applyFont="1" applyFill="1" applyBorder="1"/>
    <xf numFmtId="0" fontId="8" fillId="0" borderId="47" xfId="0" applyFont="1" applyFill="1" applyBorder="1" applyAlignment="1" applyProtection="1">
      <alignment horizontal="right" wrapText="1"/>
      <protection hidden="1"/>
    </xf>
    <xf numFmtId="0" fontId="8" fillId="0" borderId="5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>
      <alignment horizontal="center"/>
    </xf>
    <xf numFmtId="0" fontId="8" fillId="3" borderId="48" xfId="0" applyFont="1" applyFill="1" applyBorder="1" applyAlignment="1" applyProtection="1">
      <alignment horizontal="center" vertical="center" wrapText="1"/>
      <protection hidden="1"/>
    </xf>
    <xf numFmtId="0" fontId="47" fillId="0" borderId="23" xfId="0" applyFont="1" applyFill="1" applyBorder="1" applyAlignment="1">
      <alignment horizontal="center" wrapText="1"/>
    </xf>
    <xf numFmtId="0" fontId="4" fillId="0" borderId="23" xfId="0" applyFont="1" applyFill="1" applyBorder="1"/>
    <xf numFmtId="0" fontId="47" fillId="0" borderId="31" xfId="0" applyFont="1" applyFill="1" applyBorder="1" applyAlignment="1">
      <alignment horizontal="center" wrapText="1"/>
    </xf>
    <xf numFmtId="0" fontId="47" fillId="0" borderId="74" xfId="0" applyFont="1" applyBorder="1" applyAlignment="1"/>
    <xf numFmtId="3" fontId="47" fillId="0" borderId="75" xfId="0" applyNumberFormat="1" applyFont="1" applyFill="1" applyBorder="1" applyAlignment="1">
      <alignment horizontal="center"/>
    </xf>
    <xf numFmtId="0" fontId="47" fillId="0" borderId="76" xfId="0" applyFont="1" applyBorder="1" applyAlignment="1"/>
    <xf numFmtId="3" fontId="47" fillId="0" borderId="77" xfId="0" applyNumberFormat="1" applyFont="1" applyFill="1" applyBorder="1" applyAlignment="1">
      <alignment horizontal="center"/>
    </xf>
    <xf numFmtId="3" fontId="8" fillId="3" borderId="2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78" xfId="0" applyFont="1" applyFill="1" applyBorder="1" applyAlignment="1" applyProtection="1">
      <alignment wrapText="1"/>
      <protection hidden="1"/>
    </xf>
    <xf numFmtId="0" fontId="4" fillId="0" borderId="79" xfId="0" applyFont="1" applyFill="1" applyBorder="1" applyAlignment="1" applyProtection="1">
      <alignment wrapText="1"/>
      <protection hidden="1"/>
    </xf>
    <xf numFmtId="0" fontId="4" fillId="0" borderId="75" xfId="0" applyFont="1" applyFill="1" applyBorder="1" applyAlignment="1" applyProtection="1">
      <alignment wrapText="1"/>
      <protection hidden="1"/>
    </xf>
    <xf numFmtId="0" fontId="4" fillId="0" borderId="75" xfId="0" applyFont="1" applyFill="1" applyBorder="1" applyAlignment="1" applyProtection="1">
      <alignment horizontal="center" vertical="center" wrapText="1"/>
      <protection hidden="1"/>
    </xf>
    <xf numFmtId="0" fontId="4" fillId="0" borderId="75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center"/>
    </xf>
    <xf numFmtId="0" fontId="8" fillId="0" borderId="75" xfId="0" applyFont="1" applyFill="1" applyBorder="1" applyAlignment="1" applyProtection="1">
      <alignment horizontal="center" vertical="center" wrapText="1"/>
      <protection hidden="1"/>
    </xf>
    <xf numFmtId="0" fontId="4" fillId="0" borderId="75" xfId="0" applyFont="1" applyFill="1" applyBorder="1" applyAlignment="1" applyProtection="1">
      <alignment horizontal="center" wrapText="1"/>
      <protection hidden="1"/>
    </xf>
    <xf numFmtId="0" fontId="4" fillId="0" borderId="83" xfId="0" applyFont="1" applyFill="1" applyBorder="1" applyAlignment="1">
      <alignment horizontal="center"/>
    </xf>
    <xf numFmtId="0" fontId="8" fillId="0" borderId="86" xfId="0" applyFont="1" applyFill="1" applyBorder="1" applyAlignment="1" applyProtection="1">
      <alignment horizontal="center" vertical="center" wrapText="1"/>
      <protection hidden="1"/>
    </xf>
    <xf numFmtId="0" fontId="4" fillId="0" borderId="86" xfId="0" applyFont="1" applyFill="1" applyBorder="1" applyAlignment="1" applyProtection="1">
      <alignment horizontal="center" vertical="center" wrapText="1"/>
      <protection hidden="1"/>
    </xf>
    <xf numFmtId="0" fontId="4" fillId="0" borderId="7" xfId="0" applyFont="1" applyFill="1" applyBorder="1"/>
    <xf numFmtId="0" fontId="47" fillId="0" borderId="8" xfId="0" applyFont="1" applyFill="1" applyBorder="1" applyAlignment="1">
      <alignment horizontal="center" vertical="center" wrapText="1"/>
    </xf>
    <xf numFmtId="0" fontId="47" fillId="0" borderId="86" xfId="0" applyFont="1" applyFill="1" applyBorder="1" applyAlignment="1">
      <alignment horizontal="center" wrapText="1"/>
    </xf>
    <xf numFmtId="0" fontId="47" fillId="0" borderId="90" xfId="0" applyFont="1" applyFill="1" applyBorder="1" applyAlignment="1">
      <alignment horizontal="center" wrapText="1"/>
    </xf>
    <xf numFmtId="0" fontId="47" fillId="0" borderId="3" xfId="0" applyFont="1" applyFill="1" applyBorder="1" applyAlignment="1">
      <alignment horizontal="right"/>
    </xf>
    <xf numFmtId="0" fontId="47" fillId="0" borderId="5" xfId="0" applyFont="1" applyFill="1" applyBorder="1" applyAlignment="1">
      <alignment horizontal="center"/>
    </xf>
    <xf numFmtId="0" fontId="47" fillId="0" borderId="78" xfId="0" applyFont="1" applyBorder="1" applyAlignment="1">
      <alignment horizontal="left" wrapText="1"/>
    </xf>
    <xf numFmtId="0" fontId="47" fillId="0" borderId="79" xfId="0" applyFont="1" applyBorder="1" applyAlignment="1">
      <alignment horizontal="left" wrapText="1"/>
    </xf>
    <xf numFmtId="0" fontId="47" fillId="0" borderId="79" xfId="0" applyFont="1" applyFill="1" applyBorder="1" applyAlignment="1">
      <alignment horizontal="left" wrapText="1"/>
    </xf>
    <xf numFmtId="0" fontId="47" fillId="0" borderId="84" xfId="0" applyFont="1" applyFill="1" applyBorder="1" applyAlignment="1">
      <alignment horizontal="left"/>
    </xf>
    <xf numFmtId="0" fontId="47" fillId="0" borderId="91" xfId="0" applyFont="1" applyFill="1" applyBorder="1" applyAlignment="1">
      <alignment horizontal="left"/>
    </xf>
    <xf numFmtId="0" fontId="47" fillId="0" borderId="4" xfId="0" applyFont="1" applyFill="1" applyBorder="1" applyAlignment="1">
      <alignment horizontal="center"/>
    </xf>
    <xf numFmtId="0" fontId="47" fillId="0" borderId="84" xfId="0" applyFont="1" applyFill="1" applyBorder="1" applyAlignment="1">
      <alignment horizontal="left" wrapText="1"/>
    </xf>
    <xf numFmtId="0" fontId="47" fillId="0" borderId="91" xfId="0" applyFont="1" applyFill="1" applyBorder="1" applyAlignment="1">
      <alignment horizontal="left" wrapText="1"/>
    </xf>
    <xf numFmtId="9" fontId="46" fillId="3" borderId="31" xfId="151" applyFont="1" applyFill="1" applyBorder="1" applyAlignment="1" applyProtection="1">
      <alignment horizontal="center" wrapText="1"/>
      <protection hidden="1"/>
    </xf>
    <xf numFmtId="0" fontId="47" fillId="0" borderId="6" xfId="0" applyFont="1" applyFill="1" applyBorder="1" applyAlignment="1"/>
    <xf numFmtId="3" fontId="47" fillId="0" borderId="8" xfId="0" applyNumberFormat="1" applyFont="1" applyFill="1" applyBorder="1" applyAlignment="1">
      <alignment horizontal="center"/>
    </xf>
    <xf numFmtId="0" fontId="47" fillId="0" borderId="74" xfId="0" applyFont="1" applyFill="1" applyBorder="1" applyAlignment="1"/>
    <xf numFmtId="0" fontId="47" fillId="0" borderId="75" xfId="0" applyFont="1" applyFill="1" applyBorder="1" applyAlignment="1">
      <alignment horizontal="center"/>
    </xf>
    <xf numFmtId="3" fontId="47" fillId="0" borderId="82" xfId="0" applyNumberFormat="1" applyFont="1" applyFill="1" applyBorder="1" applyAlignment="1">
      <alignment horizontal="center"/>
    </xf>
    <xf numFmtId="0" fontId="47" fillId="0" borderId="92" xfId="0" applyFont="1" applyFill="1" applyBorder="1" applyAlignment="1"/>
    <xf numFmtId="3" fontId="47" fillId="0" borderId="86" xfId="0" applyNumberFormat="1" applyFont="1" applyFill="1" applyBorder="1" applyAlignment="1">
      <alignment horizontal="center"/>
    </xf>
    <xf numFmtId="0" fontId="47" fillId="0" borderId="86" xfId="0" applyFont="1" applyFill="1" applyBorder="1" applyAlignment="1">
      <alignment horizontal="center"/>
    </xf>
    <xf numFmtId="3" fontId="47" fillId="0" borderId="90" xfId="0" applyNumberFormat="1" applyFont="1" applyFill="1" applyBorder="1" applyAlignment="1">
      <alignment horizontal="center"/>
    </xf>
    <xf numFmtId="0" fontId="48" fillId="0" borderId="0" xfId="0" applyFont="1" applyBorder="1" applyAlignment="1">
      <alignment vertical="top"/>
    </xf>
    <xf numFmtId="0" fontId="46" fillId="27" borderId="3" xfId="0" applyFont="1" applyFill="1" applyBorder="1" applyAlignment="1">
      <alignment horizontal="center"/>
    </xf>
    <xf numFmtId="0" fontId="47" fillId="27" borderId="5" xfId="0" applyFont="1" applyFill="1" applyBorder="1" applyAlignment="1">
      <alignment horizontal="right"/>
    </xf>
    <xf numFmtId="0" fontId="4" fillId="0" borderId="78" xfId="0" applyFont="1" applyFill="1" applyBorder="1" applyAlignment="1" applyProtection="1">
      <alignment horizontal="left" wrapText="1"/>
      <protection hidden="1"/>
    </xf>
    <xf numFmtId="0" fontId="4" fillId="0" borderId="81" xfId="0" applyFont="1" applyFill="1" applyBorder="1" applyAlignment="1" applyProtection="1">
      <alignment horizontal="left" wrapText="1"/>
      <protection hidden="1"/>
    </xf>
    <xf numFmtId="0" fontId="4" fillId="0" borderId="79" xfId="0" applyFont="1" applyFill="1" applyBorder="1" applyAlignment="1" applyProtection="1">
      <alignment horizontal="center" wrapText="1"/>
      <protection hidden="1"/>
    </xf>
    <xf numFmtId="0" fontId="4" fillId="0" borderId="80" xfId="0" applyFont="1" applyFill="1" applyBorder="1" applyAlignment="1" applyProtection="1">
      <alignment horizontal="center" wrapText="1"/>
      <protection hidden="1"/>
    </xf>
    <xf numFmtId="0" fontId="4" fillId="0" borderId="81" xfId="0" applyFont="1" applyFill="1" applyBorder="1" applyAlignment="1" applyProtection="1">
      <alignment horizontal="center" wrapText="1"/>
      <protection hidden="1"/>
    </xf>
    <xf numFmtId="10" fontId="49" fillId="24" borderId="95" xfId="174" applyNumberFormat="1" applyFont="1" applyFill="1" applyBorder="1" applyAlignment="1" applyProtection="1">
      <alignment horizontal="center" vertical="center"/>
    </xf>
    <xf numFmtId="10" fontId="49" fillId="24" borderId="98" xfId="174" applyNumberFormat="1" applyFont="1" applyFill="1" applyBorder="1" applyAlignment="1" applyProtection="1">
      <alignment horizontal="center" vertical="center"/>
    </xf>
    <xf numFmtId="10" fontId="49" fillId="24" borderId="93" xfId="174" applyNumberFormat="1" applyFont="1" applyFill="1" applyBorder="1" applyAlignment="1" applyProtection="1">
      <alignment horizontal="center" vertical="center"/>
    </xf>
    <xf numFmtId="10" fontId="49" fillId="24" borderId="93" xfId="174" applyNumberFormat="1" applyFont="1" applyFill="1" applyBorder="1" applyAlignment="1" applyProtection="1">
      <alignment horizontal="center"/>
    </xf>
    <xf numFmtId="10" fontId="49" fillId="0" borderId="93" xfId="174" applyNumberFormat="1" applyFont="1" applyFill="1" applyBorder="1" applyAlignment="1" applyProtection="1">
      <alignment horizontal="center"/>
    </xf>
    <xf numFmtId="166" fontId="49" fillId="24" borderId="93" xfId="174" applyNumberFormat="1" applyFont="1" applyFill="1" applyBorder="1" applyAlignment="1" applyProtection="1">
      <alignment horizontal="center"/>
    </xf>
    <xf numFmtId="0" fontId="3" fillId="0" borderId="0" xfId="97" applyFont="1" applyFill="1" applyBorder="1" applyAlignment="1">
      <alignment horizontal="left"/>
    </xf>
    <xf numFmtId="0" fontId="60" fillId="0" borderId="0" xfId="0" applyFont="1" applyAlignment="1">
      <alignment horizontal="left" readingOrder="1"/>
    </xf>
    <xf numFmtId="3" fontId="49" fillId="6" borderId="93" xfId="0" applyNumberFormat="1" applyFont="1" applyFill="1" applyBorder="1" applyAlignment="1">
      <alignment horizontal="center"/>
    </xf>
    <xf numFmtId="3" fontId="44" fillId="6" borderId="9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3" fontId="9" fillId="28" borderId="97" xfId="97" applyNumberFormat="1" applyFont="1" applyFill="1" applyBorder="1" applyAlignment="1">
      <alignment horizontal="center"/>
    </xf>
    <xf numFmtId="3" fontId="9" fillId="0" borderId="97" xfId="97" applyNumberFormat="1" applyFont="1" applyFill="1" applyBorder="1" applyAlignment="1">
      <alignment horizontal="center"/>
    </xf>
    <xf numFmtId="3" fontId="49" fillId="28" borderId="93" xfId="97" applyNumberFormat="1" applyFont="1" applyFill="1" applyBorder="1" applyAlignment="1">
      <alignment horizontal="center"/>
    </xf>
    <xf numFmtId="3" fontId="9" fillId="0" borderId="93" xfId="97" applyNumberFormat="1" applyFont="1" applyFill="1" applyBorder="1" applyAlignment="1">
      <alignment horizontal="center"/>
    </xf>
    <xf numFmtId="3" fontId="9" fillId="28" borderId="93" xfId="97" applyNumberFormat="1" applyFont="1" applyFill="1" applyBorder="1" applyAlignment="1">
      <alignment horizontal="center"/>
    </xf>
    <xf numFmtId="3" fontId="9" fillId="28" borderId="95" xfId="97" applyNumberFormat="1" applyFont="1" applyFill="1" applyBorder="1" applyAlignment="1">
      <alignment horizontal="center"/>
    </xf>
    <xf numFmtId="3" fontId="9" fillId="0" borderId="94" xfId="97" applyNumberFormat="1" applyFont="1" applyFill="1" applyBorder="1" applyAlignment="1">
      <alignment horizontal="center"/>
    </xf>
    <xf numFmtId="3" fontId="9" fillId="0" borderId="100" xfId="97" applyNumberFormat="1" applyFont="1" applyFill="1" applyBorder="1" applyAlignment="1">
      <alignment horizontal="center"/>
    </xf>
    <xf numFmtId="10" fontId="49" fillId="24" borderId="63" xfId="174" applyNumberFormat="1" applyFont="1" applyFill="1" applyBorder="1" applyAlignment="1" applyProtection="1">
      <alignment horizontal="center"/>
    </xf>
    <xf numFmtId="0" fontId="3" fillId="0" borderId="0" xfId="97" applyFont="1" applyBorder="1" applyAlignment="1"/>
    <xf numFmtId="0" fontId="3" fillId="0" borderId="0" xfId="97" applyFont="1" applyFill="1" applyBorder="1" applyAlignment="1"/>
    <xf numFmtId="3" fontId="3" fillId="0" borderId="0" xfId="97" applyNumberFormat="1" applyFont="1" applyBorder="1" applyAlignment="1"/>
    <xf numFmtId="0" fontId="3" fillId="0" borderId="0" xfId="97" applyFont="1" applyBorder="1"/>
    <xf numFmtId="3" fontId="3" fillId="0" borderId="0" xfId="97" applyNumberFormat="1" applyFont="1" applyBorder="1"/>
    <xf numFmtId="0" fontId="49" fillId="0" borderId="0" xfId="97" applyFont="1" applyBorder="1"/>
    <xf numFmtId="0" fontId="9" fillId="0" borderId="0" xfId="97" applyFont="1" applyFill="1" applyBorder="1"/>
    <xf numFmtId="0" fontId="3" fillId="0" borderId="0" xfId="97" applyFont="1" applyFill="1" applyBorder="1" applyAlignment="1">
      <alignment horizontal="center" vertical="top" wrapText="1"/>
    </xf>
    <xf numFmtId="0" fontId="49" fillId="0" borderId="0" xfId="97" applyFont="1" applyBorder="1" applyAlignment="1">
      <alignment horizontal="center"/>
    </xf>
    <xf numFmtId="0" fontId="49" fillId="0" borderId="0" xfId="97" applyFont="1" applyFill="1" applyBorder="1" applyAlignment="1">
      <alignment horizontal="center"/>
    </xf>
    <xf numFmtId="0" fontId="64" fillId="26" borderId="0" xfId="97" applyFont="1" applyFill="1" applyBorder="1" applyAlignment="1">
      <alignment horizontal="center"/>
    </xf>
    <xf numFmtId="0" fontId="3" fillId="0" borderId="0" xfId="97" applyFont="1" applyFill="1" applyBorder="1"/>
    <xf numFmtId="0" fontId="62" fillId="0" borderId="0" xfId="97" applyFont="1" applyFill="1" applyBorder="1" applyAlignment="1"/>
    <xf numFmtId="0" fontId="62" fillId="0" borderId="0" xfId="97" applyFont="1" applyBorder="1" applyAlignment="1"/>
    <xf numFmtId="0" fontId="49" fillId="25" borderId="93" xfId="97" applyFont="1" applyFill="1" applyBorder="1" applyAlignment="1">
      <alignment horizontal="center"/>
    </xf>
    <xf numFmtId="0" fontId="44" fillId="28" borderId="93" xfId="97" applyFont="1" applyFill="1" applyBorder="1" applyAlignment="1">
      <alignment horizontal="center"/>
    </xf>
    <xf numFmtId="0" fontId="44" fillId="24" borderId="93" xfId="97" applyFont="1" applyFill="1" applyBorder="1" applyAlignment="1">
      <alignment horizontal="center"/>
    </xf>
    <xf numFmtId="0" fontId="44" fillId="0" borderId="0" xfId="97" applyFont="1" applyFill="1" applyBorder="1" applyAlignment="1">
      <alignment horizontal="center"/>
    </xf>
    <xf numFmtId="0" fontId="3" fillId="0" borderId="93" xfId="97" applyFont="1" applyBorder="1" applyAlignment="1">
      <alignment horizontal="left"/>
    </xf>
    <xf numFmtId="3" fontId="49" fillId="25" borderId="93" xfId="97" applyNumberFormat="1" applyFont="1" applyFill="1" applyBorder="1" applyAlignment="1">
      <alignment horizontal="center" vertical="center"/>
    </xf>
    <xf numFmtId="10" fontId="49" fillId="24" borderId="95" xfId="175" applyNumberFormat="1" applyFont="1" applyFill="1" applyBorder="1" applyAlignment="1" applyProtection="1">
      <alignment horizontal="center" vertical="center"/>
    </xf>
    <xf numFmtId="10" fontId="9" fillId="0" borderId="0" xfId="97" applyNumberFormat="1" applyFont="1" applyFill="1" applyBorder="1" applyAlignment="1">
      <alignment horizontal="center"/>
    </xf>
    <xf numFmtId="0" fontId="3" fillId="0" borderId="95" xfId="97" applyFont="1" applyBorder="1" applyAlignment="1">
      <alignment horizontal="left"/>
    </xf>
    <xf numFmtId="3" fontId="49" fillId="25" borderId="95" xfId="97" applyNumberFormat="1" applyFont="1" applyFill="1" applyBorder="1" applyAlignment="1">
      <alignment horizontal="center" vertical="center"/>
    </xf>
    <xf numFmtId="10" fontId="49" fillId="24" borderId="93" xfId="175" applyNumberFormat="1" applyFont="1" applyFill="1" applyBorder="1" applyAlignment="1" applyProtection="1">
      <alignment horizontal="center" vertical="center"/>
    </xf>
    <xf numFmtId="0" fontId="3" fillId="18" borderId="0" xfId="97" applyFont="1" applyFill="1" applyBorder="1" applyAlignment="1">
      <alignment horizontal="left"/>
    </xf>
    <xf numFmtId="0" fontId="3" fillId="0" borderId="0" xfId="97" applyFont="1" applyFill="1" applyBorder="1" applyAlignment="1">
      <alignment horizontal="center"/>
    </xf>
    <xf numFmtId="0" fontId="9" fillId="0" borderId="0" xfId="97" applyFont="1" applyFill="1" applyBorder="1" applyAlignment="1">
      <alignment horizontal="center"/>
    </xf>
    <xf numFmtId="0" fontId="3" fillId="18" borderId="0" xfId="97" applyFont="1" applyFill="1" applyBorder="1" applyAlignment="1">
      <alignment horizontal="center"/>
    </xf>
    <xf numFmtId="3" fontId="49" fillId="18" borderId="0" xfId="97" applyNumberFormat="1" applyFont="1" applyFill="1" applyBorder="1" applyAlignment="1">
      <alignment horizontal="center"/>
    </xf>
    <xf numFmtId="0" fontId="49" fillId="18" borderId="0" xfId="97" applyFont="1" applyFill="1" applyBorder="1" applyAlignment="1">
      <alignment horizontal="center"/>
    </xf>
    <xf numFmtId="0" fontId="9" fillId="18" borderId="0" xfId="97" applyFont="1" applyFill="1" applyBorder="1" applyAlignment="1">
      <alignment horizontal="center"/>
    </xf>
    <xf numFmtId="0" fontId="3" fillId="0" borderId="93" xfId="97" applyFont="1" applyFill="1" applyBorder="1" applyAlignment="1">
      <alignment horizontal="left" vertical="center"/>
    </xf>
    <xf numFmtId="10" fontId="49" fillId="24" borderId="93" xfId="175" applyNumberFormat="1" applyFont="1" applyFill="1" applyBorder="1" applyAlignment="1" applyProtection="1">
      <alignment horizontal="center"/>
    </xf>
    <xf numFmtId="3" fontId="49" fillId="28" borderId="93" xfId="176" applyNumberFormat="1" applyFont="1" applyFill="1" applyBorder="1" applyAlignment="1">
      <alignment horizontal="center"/>
    </xf>
    <xf numFmtId="0" fontId="3" fillId="0" borderId="93" xfId="97" applyFont="1" applyFill="1" applyBorder="1" applyAlignment="1">
      <alignment horizontal="left"/>
    </xf>
    <xf numFmtId="0" fontId="44" fillId="0" borderId="93" xfId="97" applyFont="1" applyFill="1" applyBorder="1" applyAlignment="1">
      <alignment horizontal="left"/>
    </xf>
    <xf numFmtId="3" fontId="44" fillId="6" borderId="93" xfId="97" applyNumberFormat="1" applyFont="1" applyFill="1" applyBorder="1" applyAlignment="1">
      <alignment horizontal="center"/>
    </xf>
    <xf numFmtId="0" fontId="3" fillId="4" borderId="0" xfId="97" applyFont="1" applyFill="1" applyBorder="1" applyAlignment="1">
      <alignment horizontal="left"/>
    </xf>
    <xf numFmtId="0" fontId="9" fillId="4" borderId="0" xfId="97" applyFont="1" applyFill="1" applyBorder="1" applyAlignment="1">
      <alignment horizontal="center"/>
    </xf>
    <xf numFmtId="0" fontId="3" fillId="4" borderId="0" xfId="97" applyFont="1" applyFill="1" applyBorder="1" applyAlignment="1">
      <alignment horizontal="center"/>
    </xf>
    <xf numFmtId="0" fontId="49" fillId="4" borderId="0" xfId="97" applyFont="1" applyFill="1" applyBorder="1" applyAlignment="1">
      <alignment horizontal="center"/>
    </xf>
    <xf numFmtId="3" fontId="49" fillId="4" borderId="0" xfId="97" applyNumberFormat="1" applyFont="1" applyFill="1" applyBorder="1" applyAlignment="1">
      <alignment horizontal="center"/>
    </xf>
    <xf numFmtId="0" fontId="62" fillId="28" borderId="0" xfId="97" applyFont="1" applyFill="1" applyBorder="1" applyAlignment="1"/>
    <xf numFmtId="0" fontId="49" fillId="25" borderId="95" xfId="97" applyFont="1" applyFill="1" applyBorder="1" applyAlignment="1">
      <alignment horizontal="center"/>
    </xf>
    <xf numFmtId="0" fontId="44" fillId="24" borderId="95" xfId="97" applyFont="1" applyFill="1" applyBorder="1" applyAlignment="1">
      <alignment horizontal="center"/>
    </xf>
    <xf numFmtId="0" fontId="3" fillId="28" borderId="93" xfId="97" applyFont="1" applyFill="1" applyBorder="1" applyAlignment="1">
      <alignment horizontal="left"/>
    </xf>
    <xf numFmtId="3" fontId="49" fillId="25" borderId="63" xfId="97" applyNumberFormat="1" applyFont="1" applyFill="1" applyBorder="1" applyAlignment="1">
      <alignment horizontal="center"/>
    </xf>
    <xf numFmtId="3" fontId="44" fillId="6" borderId="96" xfId="97" applyNumberFormat="1" applyFont="1" applyFill="1" applyBorder="1" applyAlignment="1">
      <alignment horizontal="center"/>
    </xf>
    <xf numFmtId="3" fontId="49" fillId="25" borderId="94" xfId="97" applyNumberFormat="1" applyFont="1" applyFill="1" applyBorder="1" applyAlignment="1">
      <alignment horizontal="center"/>
    </xf>
    <xf numFmtId="3" fontId="49" fillId="25" borderId="93" xfId="97" applyNumberFormat="1" applyFont="1" applyFill="1" applyBorder="1" applyAlignment="1">
      <alignment horizontal="center"/>
    </xf>
    <xf numFmtId="0" fontId="52" fillId="4" borderId="93" xfId="97" applyFont="1" applyFill="1" applyBorder="1" applyAlignment="1">
      <alignment horizontal="left"/>
    </xf>
    <xf numFmtId="3" fontId="49" fillId="6" borderId="93" xfId="97" applyNumberFormat="1" applyFont="1" applyFill="1" applyBorder="1" applyAlignment="1">
      <alignment horizontal="center"/>
    </xf>
    <xf numFmtId="3" fontId="49" fillId="6" borderId="93" xfId="177" applyNumberFormat="1" applyFont="1" applyFill="1" applyBorder="1" applyAlignment="1">
      <alignment horizontal="center"/>
    </xf>
    <xf numFmtId="3" fontId="49" fillId="28" borderId="96" xfId="97" applyNumberFormat="1" applyFont="1" applyFill="1" applyBorder="1" applyAlignment="1">
      <alignment horizontal="center"/>
    </xf>
    <xf numFmtId="10" fontId="49" fillId="24" borderId="63" xfId="175" applyNumberFormat="1" applyFont="1" applyFill="1" applyBorder="1" applyAlignment="1" applyProtection="1">
      <alignment horizontal="center"/>
    </xf>
    <xf numFmtId="3" fontId="44" fillId="6" borderId="93" xfId="178" applyNumberFormat="1" applyFont="1" applyFill="1" applyBorder="1" applyAlignment="1">
      <alignment horizontal="center"/>
    </xf>
    <xf numFmtId="0" fontId="44" fillId="28" borderId="96" xfId="97" applyFont="1" applyFill="1" applyBorder="1" applyAlignment="1">
      <alignment horizontal="center"/>
    </xf>
    <xf numFmtId="0" fontId="44" fillId="28" borderId="94" xfId="97" applyFont="1" applyFill="1" applyBorder="1" applyAlignment="1">
      <alignment horizontal="center"/>
    </xf>
    <xf numFmtId="0" fontId="3" fillId="0" borderId="64" xfId="97" applyFont="1" applyBorder="1" applyAlignment="1">
      <alignment horizontal="left"/>
    </xf>
    <xf numFmtId="0" fontId="3" fillId="0" borderId="96" xfId="97" applyFont="1" applyBorder="1" applyAlignment="1">
      <alignment horizontal="left"/>
    </xf>
    <xf numFmtId="3" fontId="9" fillId="6" borderId="93" xfId="97" applyNumberFormat="1" applyFont="1" applyFill="1" applyBorder="1" applyAlignment="1">
      <alignment horizontal="center"/>
    </xf>
    <xf numFmtId="166" fontId="49" fillId="24" borderId="93" xfId="175" applyNumberFormat="1" applyFont="1" applyFill="1" applyBorder="1" applyAlignment="1" applyProtection="1">
      <alignment horizontal="center"/>
    </xf>
    <xf numFmtId="0" fontId="49" fillId="24" borderId="93" xfId="97" applyFont="1" applyFill="1" applyBorder="1" applyAlignment="1">
      <alignment horizontal="center"/>
    </xf>
    <xf numFmtId="3" fontId="44" fillId="6" borderId="93" xfId="180" applyNumberFormat="1" applyFont="1" applyFill="1" applyBorder="1" applyAlignment="1">
      <alignment horizontal="center"/>
    </xf>
    <xf numFmtId="0" fontId="52" fillId="4" borderId="0" xfId="97" applyFont="1" applyFill="1" applyBorder="1" applyAlignment="1">
      <alignment horizontal="left"/>
    </xf>
    <xf numFmtId="0" fontId="3" fillId="0" borderId="93" xfId="97" applyFont="1" applyFill="1" applyBorder="1" applyAlignment="1">
      <alignment horizontal="left" wrapText="1"/>
    </xf>
    <xf numFmtId="3" fontId="44" fillId="6" borderId="93" xfId="181" applyNumberFormat="1" applyFont="1" applyFill="1" applyBorder="1" applyAlignment="1">
      <alignment horizontal="center"/>
    </xf>
    <xf numFmtId="3" fontId="3" fillId="4" borderId="0" xfId="97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9" fillId="25" borderId="93" xfId="0" applyFont="1" applyFill="1" applyBorder="1" applyAlignment="1">
      <alignment horizontal="center"/>
    </xf>
    <xf numFmtId="0" fontId="44" fillId="28" borderId="93" xfId="0" applyFont="1" applyFill="1" applyBorder="1" applyAlignment="1">
      <alignment horizontal="center"/>
    </xf>
    <xf numFmtId="0" fontId="44" fillId="24" borderId="93" xfId="0" applyFont="1" applyFill="1" applyBorder="1" applyAlignment="1">
      <alignment horizontal="center"/>
    </xf>
    <xf numFmtId="3" fontId="49" fillId="25" borderId="93" xfId="0" applyNumberFormat="1" applyFont="1" applyFill="1" applyBorder="1" applyAlignment="1">
      <alignment horizontal="center" vertical="center"/>
    </xf>
    <xf numFmtId="3" fontId="9" fillId="0" borderId="93" xfId="0" applyNumberFormat="1" applyFont="1" applyFill="1" applyBorder="1" applyAlignment="1">
      <alignment horizontal="center"/>
    </xf>
    <xf numFmtId="3" fontId="9" fillId="28" borderId="93" xfId="0" applyNumberFormat="1" applyFont="1" applyFill="1" applyBorder="1" applyAlignment="1">
      <alignment horizontal="center"/>
    </xf>
    <xf numFmtId="3" fontId="44" fillId="6" borderId="98" xfId="0" applyNumberFormat="1" applyFont="1" applyFill="1" applyBorder="1" applyAlignment="1">
      <alignment horizontal="center"/>
    </xf>
    <xf numFmtId="3" fontId="44" fillId="6" borderId="9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18" borderId="0" xfId="0" applyFont="1" applyFill="1" applyBorder="1" applyAlignment="1">
      <alignment horizontal="center"/>
    </xf>
    <xf numFmtId="0" fontId="9" fillId="18" borderId="0" xfId="0" applyFont="1" applyFill="1" applyBorder="1" applyAlignment="1">
      <alignment horizontal="center"/>
    </xf>
    <xf numFmtId="3" fontId="49" fillId="28" borderId="93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49" fillId="25" borderId="95" xfId="0" applyFont="1" applyFill="1" applyBorder="1" applyAlignment="1">
      <alignment horizontal="center"/>
    </xf>
    <xf numFmtId="0" fontId="44" fillId="24" borderId="95" xfId="0" applyFont="1" applyFill="1" applyBorder="1" applyAlignment="1">
      <alignment horizontal="center"/>
    </xf>
    <xf numFmtId="3" fontId="9" fillId="28" borderId="97" xfId="0" applyNumberFormat="1" applyFont="1" applyFill="1" applyBorder="1" applyAlignment="1">
      <alignment horizontal="center"/>
    </xf>
    <xf numFmtId="3" fontId="9" fillId="0" borderId="97" xfId="0" applyNumberFormat="1" applyFont="1" applyFill="1" applyBorder="1" applyAlignment="1">
      <alignment horizontal="center"/>
    </xf>
    <xf numFmtId="3" fontId="9" fillId="31" borderId="97" xfId="0" applyNumberFormat="1" applyFont="1" applyFill="1" applyBorder="1" applyAlignment="1">
      <alignment horizontal="center"/>
    </xf>
    <xf numFmtId="3" fontId="44" fillId="6" borderId="96" xfId="0" applyNumberFormat="1" applyFont="1" applyFill="1" applyBorder="1" applyAlignment="1">
      <alignment horizontal="center"/>
    </xf>
    <xf numFmtId="3" fontId="49" fillId="25" borderId="94" xfId="0" applyNumberFormat="1" applyFont="1" applyFill="1" applyBorder="1" applyAlignment="1">
      <alignment horizontal="center"/>
    </xf>
    <xf numFmtId="3" fontId="49" fillId="25" borderId="93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3" fontId="49" fillId="28" borderId="96" xfId="0" applyNumberFormat="1" applyFont="1" applyFill="1" applyBorder="1" applyAlignment="1">
      <alignment horizontal="center"/>
    </xf>
    <xf numFmtId="0" fontId="49" fillId="25" borderId="96" xfId="0" applyFont="1" applyFill="1" applyBorder="1" applyAlignment="1">
      <alignment horizontal="center"/>
    </xf>
    <xf numFmtId="0" fontId="49" fillId="24" borderId="62" xfId="0" applyFont="1" applyFill="1" applyBorder="1" applyAlignment="1"/>
    <xf numFmtId="0" fontId="44" fillId="28" borderId="94" xfId="0" applyFont="1" applyFill="1" applyBorder="1" applyAlignment="1">
      <alignment horizontal="center"/>
    </xf>
    <xf numFmtId="1" fontId="49" fillId="25" borderId="98" xfId="0" applyNumberFormat="1" applyFont="1" applyFill="1" applyBorder="1" applyAlignment="1">
      <alignment horizontal="center"/>
    </xf>
    <xf numFmtId="10" fontId="49" fillId="24" borderId="98" xfId="174" applyNumberFormat="1" applyFont="1" applyFill="1" applyBorder="1" applyAlignment="1" applyProtection="1">
      <alignment horizontal="center"/>
    </xf>
    <xf numFmtId="0" fontId="49" fillId="25" borderId="63" xfId="0" applyFont="1" applyFill="1" applyBorder="1" applyAlignment="1">
      <alignment horizontal="center"/>
    </xf>
    <xf numFmtId="3" fontId="9" fillId="6" borderId="63" xfId="0" applyNumberFormat="1" applyFont="1" applyFill="1" applyBorder="1" applyAlignment="1">
      <alignment horizontal="center"/>
    </xf>
    <xf numFmtId="3" fontId="9" fillId="6" borderId="93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9" fillId="0" borderId="0" xfId="0" applyFont="1" applyFill="1" applyBorder="1"/>
    <xf numFmtId="0" fontId="44" fillId="0" borderId="62" xfId="97" applyFont="1" applyFill="1" applyBorder="1" applyAlignment="1">
      <alignment horizontal="left"/>
    </xf>
    <xf numFmtId="3" fontId="49" fillId="25" borderId="98" xfId="0" applyNumberFormat="1" applyFont="1" applyFill="1" applyBorder="1" applyAlignment="1">
      <alignment horizontal="center"/>
    </xf>
    <xf numFmtId="3" fontId="49" fillId="25" borderId="62" xfId="97" applyNumberFormat="1" applyFont="1" applyFill="1" applyBorder="1" applyAlignment="1">
      <alignment horizontal="center"/>
    </xf>
    <xf numFmtId="3" fontId="44" fillId="6" borderId="62" xfId="97" applyNumberFormat="1" applyFont="1" applyFill="1" applyBorder="1" applyAlignment="1">
      <alignment horizontal="center"/>
    </xf>
    <xf numFmtId="10" fontId="49" fillId="24" borderId="62" xfId="175" applyNumberFormat="1" applyFont="1" applyFill="1" applyBorder="1" applyAlignment="1" applyProtection="1">
      <alignment horizontal="center"/>
    </xf>
    <xf numFmtId="10" fontId="44" fillId="0" borderId="0" xfId="97" applyNumberFormat="1" applyFont="1" applyFill="1" applyBorder="1" applyAlignment="1">
      <alignment horizontal="center"/>
    </xf>
    <xf numFmtId="0" fontId="49" fillId="25" borderId="107" xfId="97" applyFont="1" applyFill="1" applyBorder="1" applyAlignment="1"/>
    <xf numFmtId="3" fontId="44" fillId="6" borderId="103" xfId="97" applyNumberFormat="1" applyFont="1" applyFill="1" applyBorder="1" applyAlignment="1"/>
    <xf numFmtId="10" fontId="49" fillId="24" borderId="103" xfId="175" applyNumberFormat="1" applyFont="1" applyFill="1" applyBorder="1" applyAlignment="1" applyProtection="1"/>
    <xf numFmtId="0" fontId="49" fillId="25" borderId="103" xfId="97" applyFont="1" applyFill="1" applyBorder="1" applyAlignment="1"/>
    <xf numFmtId="3" fontId="9" fillId="6" borderId="103" xfId="97" applyNumberFormat="1" applyFont="1" applyFill="1" applyBorder="1" applyAlignment="1"/>
    <xf numFmtId="3" fontId="49" fillId="25" borderId="103" xfId="97" applyNumberFormat="1" applyFont="1" applyFill="1" applyBorder="1" applyAlignment="1"/>
    <xf numFmtId="3" fontId="49" fillId="6" borderId="103" xfId="97" applyNumberFormat="1" applyFont="1" applyFill="1" applyBorder="1" applyAlignment="1"/>
    <xf numFmtId="1" fontId="49" fillId="25" borderId="98" xfId="0" applyNumberFormat="1" applyFont="1" applyFill="1" applyBorder="1" applyAlignment="1">
      <alignment horizontal="center" vertical="center"/>
    </xf>
    <xf numFmtId="3" fontId="44" fillId="6" borderId="98" xfId="0" applyNumberFormat="1" applyFont="1" applyFill="1" applyBorder="1" applyAlignment="1">
      <alignment horizontal="center" vertical="center"/>
    </xf>
    <xf numFmtId="10" fontId="49" fillId="24" borderId="104" xfId="174" applyNumberFormat="1" applyFont="1" applyFill="1" applyBorder="1" applyAlignment="1" applyProtection="1">
      <alignment horizontal="center" vertical="center"/>
    </xf>
    <xf numFmtId="0" fontId="49" fillId="25" borderId="98" xfId="0" applyFont="1" applyFill="1" applyBorder="1" applyAlignment="1">
      <alignment horizontal="center" vertical="center"/>
    </xf>
    <xf numFmtId="0" fontId="9" fillId="0" borderId="0" xfId="97" applyFont="1" applyFill="1" applyBorder="1" applyAlignment="1">
      <alignment horizontal="center" vertical="center"/>
    </xf>
    <xf numFmtId="3" fontId="44" fillId="6" borderId="105" xfId="97" applyNumberFormat="1" applyFont="1" applyFill="1" applyBorder="1" applyAlignment="1">
      <alignment horizontal="center" vertical="center"/>
    </xf>
    <xf numFmtId="0" fontId="49" fillId="25" borderId="106" xfId="97" applyFont="1" applyFill="1" applyBorder="1" applyAlignment="1">
      <alignment horizontal="center" vertical="center"/>
    </xf>
    <xf numFmtId="10" fontId="49" fillId="24" borderId="105" xfId="175" applyNumberFormat="1" applyFont="1" applyFill="1" applyBorder="1" applyAlignment="1" applyProtection="1">
      <alignment horizontal="center" vertical="center"/>
    </xf>
    <xf numFmtId="0" fontId="49" fillId="25" borderId="105" xfId="97" applyFont="1" applyFill="1" applyBorder="1" applyAlignment="1">
      <alignment horizontal="center" vertical="center"/>
    </xf>
    <xf numFmtId="3" fontId="9" fillId="6" borderId="105" xfId="97" applyNumberFormat="1" applyFont="1" applyFill="1" applyBorder="1" applyAlignment="1">
      <alignment horizontal="center" vertical="center"/>
    </xf>
    <xf numFmtId="10" fontId="49" fillId="24" borderId="102" xfId="175" applyNumberFormat="1" applyFont="1" applyFill="1" applyBorder="1" applyAlignment="1" applyProtection="1">
      <alignment horizontal="center" vertical="center"/>
    </xf>
    <xf numFmtId="0" fontId="3" fillId="0" borderId="0" xfId="97" applyFont="1" applyFill="1" applyBorder="1" applyAlignment="1">
      <alignment horizontal="center" vertical="center"/>
    </xf>
    <xf numFmtId="0" fontId="0" fillId="0" borderId="93" xfId="179" applyFont="1" applyBorder="1" applyAlignment="1">
      <alignment horizontal="left" vertical="center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8" fillId="2" borderId="53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2" borderId="47" xfId="0" applyFont="1" applyFill="1" applyBorder="1" applyAlignment="1" applyProtection="1">
      <alignment horizontal="center" vertical="center" wrapText="1"/>
      <protection locked="0"/>
    </xf>
    <xf numFmtId="0" fontId="8" fillId="2" borderId="45" xfId="0" applyFont="1" applyFill="1" applyBorder="1" applyAlignment="1" applyProtection="1">
      <alignment horizontal="center" vertical="center" wrapText="1"/>
      <protection locked="0"/>
    </xf>
    <xf numFmtId="0" fontId="8" fillId="2" borderId="48" xfId="0" applyFont="1" applyFill="1" applyBorder="1" applyAlignment="1" applyProtection="1">
      <alignment horizontal="center" vertical="center" wrapText="1"/>
      <protection locked="0"/>
    </xf>
    <xf numFmtId="10" fontId="47" fillId="0" borderId="14" xfId="105" applyNumberFormat="1" applyFont="1" applyFill="1" applyBorder="1" applyAlignment="1" applyProtection="1">
      <alignment horizontal="center" vertical="center" wrapText="1"/>
      <protection hidden="1"/>
    </xf>
    <xf numFmtId="10" fontId="47" fillId="0" borderId="18" xfId="105" applyNumberFormat="1" applyFont="1" applyFill="1" applyBorder="1" applyAlignment="1" applyProtection="1">
      <alignment horizontal="center" vertical="center" wrapText="1"/>
      <protection hidden="1"/>
    </xf>
    <xf numFmtId="9" fontId="47" fillId="0" borderId="14" xfId="105" applyFont="1" applyFill="1" applyBorder="1" applyAlignment="1" applyProtection="1">
      <alignment horizontal="center" vertical="center" wrapText="1"/>
      <protection hidden="1"/>
    </xf>
    <xf numFmtId="9" fontId="47" fillId="0" borderId="18" xfId="105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wrapText="1"/>
      <protection hidden="1"/>
    </xf>
    <xf numFmtId="0" fontId="4" fillId="0" borderId="11" xfId="0" applyFont="1" applyFill="1" applyBorder="1" applyAlignment="1" applyProtection="1">
      <alignment horizontal="center" wrapText="1"/>
      <protection hidden="1"/>
    </xf>
    <xf numFmtId="0" fontId="4" fillId="0" borderId="25" xfId="0" applyFont="1" applyFill="1" applyBorder="1" applyAlignment="1" applyProtection="1">
      <alignment horizontal="center" wrapText="1"/>
      <protection hidden="1"/>
    </xf>
    <xf numFmtId="0" fontId="4" fillId="0" borderId="54" xfId="0" applyFont="1" applyFill="1" applyBorder="1" applyAlignment="1" applyProtection="1">
      <alignment horizontal="center" wrapText="1"/>
      <protection hidden="1"/>
    </xf>
    <xf numFmtId="0" fontId="8" fillId="3" borderId="24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hidden="1"/>
    </xf>
    <xf numFmtId="0" fontId="9" fillId="0" borderId="68" xfId="0" applyFont="1" applyFill="1" applyBorder="1" applyAlignment="1" applyProtection="1">
      <alignment horizontal="center" vertical="center" wrapText="1"/>
      <protection hidden="1"/>
    </xf>
    <xf numFmtId="0" fontId="9" fillId="0" borderId="24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3" fontId="8" fillId="3" borderId="24" xfId="0" applyNumberFormat="1" applyFont="1" applyFill="1" applyBorder="1" applyAlignment="1" applyProtection="1">
      <alignment horizontal="center" vertical="center" wrapText="1"/>
      <protection hidden="1"/>
    </xf>
    <xf numFmtId="2" fontId="8" fillId="3" borderId="24" xfId="0" applyNumberFormat="1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8" fillId="2" borderId="3" xfId="0" applyFont="1" applyFill="1" applyBorder="1" applyAlignment="1" applyProtection="1">
      <alignment horizontal="center" vertical="center" wrapText="1" shrinkToFit="1"/>
      <protection locked="0"/>
    </xf>
    <xf numFmtId="0" fontId="8" fillId="2" borderId="4" xfId="0" applyFont="1" applyFill="1" applyBorder="1" applyAlignment="1" applyProtection="1">
      <alignment horizontal="center" vertical="center" wrapText="1" shrinkToFit="1"/>
      <protection locked="0"/>
    </xf>
    <xf numFmtId="0" fontId="8" fillId="2" borderId="5" xfId="0" applyFont="1" applyFill="1" applyBorder="1" applyAlignment="1" applyProtection="1">
      <alignment horizontal="center" vertical="center" wrapText="1" shrinkToFi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8" fillId="0" borderId="17" xfId="0" applyFont="1" applyFill="1" applyBorder="1" applyAlignment="1" applyProtection="1">
      <alignment horizontal="center" vertical="center" wrapText="1"/>
      <protection hidden="1"/>
    </xf>
    <xf numFmtId="0" fontId="8" fillId="3" borderId="3" xfId="0" applyFont="1" applyFill="1" applyBorder="1" applyAlignment="1" applyProtection="1">
      <alignment horizontal="center" vertical="center" wrapText="1"/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9" fontId="46" fillId="26" borderId="14" xfId="105" applyNumberFormat="1" applyFont="1" applyFill="1" applyBorder="1" applyAlignment="1" applyProtection="1">
      <alignment horizontal="center" vertical="center" wrapText="1"/>
      <protection hidden="1"/>
    </xf>
    <xf numFmtId="9" fontId="46" fillId="26" borderId="18" xfId="105" applyNumberFormat="1" applyFont="1" applyFill="1" applyBorder="1" applyAlignment="1" applyProtection="1">
      <alignment horizontal="center" vertical="center" wrapText="1"/>
      <protection hidden="1"/>
    </xf>
    <xf numFmtId="9" fontId="46" fillId="26" borderId="14" xfId="105" applyFont="1" applyFill="1" applyBorder="1" applyAlignment="1" applyProtection="1">
      <alignment horizontal="center" vertical="center" wrapText="1"/>
      <protection hidden="1"/>
    </xf>
    <xf numFmtId="9" fontId="46" fillId="26" borderId="18" xfId="105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 applyProtection="1">
      <alignment horizontal="center" vertical="center" wrapText="1"/>
      <protection hidden="1"/>
    </xf>
    <xf numFmtId="0" fontId="8" fillId="30" borderId="33" xfId="0" applyFont="1" applyFill="1" applyBorder="1" applyAlignment="1">
      <alignment horizontal="center" vertical="center"/>
    </xf>
    <xf numFmtId="0" fontId="8" fillId="30" borderId="5" xfId="0" applyFont="1" applyFill="1" applyBorder="1" applyAlignment="1">
      <alignment horizontal="center" vertical="center"/>
    </xf>
    <xf numFmtId="10" fontId="46" fillId="0" borderId="14" xfId="105" applyNumberFormat="1" applyFont="1" applyFill="1" applyBorder="1" applyAlignment="1" applyProtection="1">
      <alignment horizontal="center" vertical="center" wrapText="1"/>
      <protection hidden="1"/>
    </xf>
    <xf numFmtId="10" fontId="46" fillId="0" borderId="18" xfId="105" applyNumberFormat="1" applyFont="1" applyFill="1" applyBorder="1" applyAlignment="1" applyProtection="1">
      <alignment horizontal="center" vertical="center" wrapText="1"/>
      <protection hidden="1"/>
    </xf>
    <xf numFmtId="9" fontId="46" fillId="0" borderId="14" xfId="105" applyFont="1" applyFill="1" applyBorder="1" applyAlignment="1" applyProtection="1">
      <alignment horizontal="center" vertical="center" wrapText="1"/>
      <protection hidden="1"/>
    </xf>
    <xf numFmtId="9" fontId="46" fillId="0" borderId="18" xfId="105" applyFont="1" applyFill="1" applyBorder="1" applyAlignment="1" applyProtection="1">
      <alignment horizontal="center" vertical="center" wrapText="1"/>
      <protection hidden="1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49" fillId="26" borderId="0" xfId="0" applyFont="1" applyFill="1" applyBorder="1" applyAlignment="1" applyProtection="1">
      <alignment horizontal="center"/>
    </xf>
    <xf numFmtId="0" fontId="0" fillId="26" borderId="0" xfId="0" applyFont="1" applyFill="1" applyBorder="1" applyAlignment="1" applyProtection="1">
      <alignment horizontal="center"/>
    </xf>
    <xf numFmtId="0" fontId="49" fillId="0" borderId="55" xfId="0" applyFont="1" applyBorder="1" applyAlignment="1" applyProtection="1">
      <alignment horizontal="center"/>
    </xf>
    <xf numFmtId="0" fontId="49" fillId="0" borderId="56" xfId="0" applyFont="1" applyBorder="1" applyAlignment="1" applyProtection="1">
      <alignment horizontal="center"/>
    </xf>
    <xf numFmtId="0" fontId="49" fillId="0" borderId="57" xfId="0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/>
    </xf>
    <xf numFmtId="0" fontId="0" fillId="0" borderId="60" xfId="0" applyFont="1" applyBorder="1" applyAlignment="1" applyProtection="1">
      <alignment horizontal="center"/>
    </xf>
    <xf numFmtId="0" fontId="59" fillId="0" borderId="3" xfId="0" applyFont="1" applyFill="1" applyBorder="1" applyAlignment="1">
      <alignment horizontal="center"/>
    </xf>
    <xf numFmtId="0" fontId="59" fillId="0" borderId="5" xfId="0" applyFont="1" applyFill="1" applyBorder="1" applyAlignment="1">
      <alignment horizontal="center"/>
    </xf>
    <xf numFmtId="0" fontId="46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8" fillId="2" borderId="4" xfId="0" applyFont="1" applyFill="1" applyBorder="1" applyAlignment="1" applyProtection="1">
      <alignment horizontal="center" vertical="center" wrapText="1"/>
    </xf>
    <xf numFmtId="0" fontId="46" fillId="0" borderId="3" xfId="0" applyFont="1" applyFill="1" applyBorder="1" applyAlignment="1">
      <alignment horizontal="center"/>
    </xf>
    <xf numFmtId="0" fontId="46" fillId="0" borderId="5" xfId="0" applyFont="1" applyFill="1" applyBorder="1" applyAlignment="1">
      <alignment horizontal="center"/>
    </xf>
    <xf numFmtId="0" fontId="47" fillId="0" borderId="46" xfId="0" applyFont="1" applyFill="1" applyBorder="1" applyAlignment="1">
      <alignment horizontal="left" wrapText="1"/>
    </xf>
    <xf numFmtId="0" fontId="47" fillId="0" borderId="47" xfId="0" applyFont="1" applyFill="1" applyBorder="1" applyAlignment="1">
      <alignment horizontal="left" wrapText="1"/>
    </xf>
    <xf numFmtId="0" fontId="4" fillId="0" borderId="78" xfId="0" applyFont="1" applyFill="1" applyBorder="1" applyAlignment="1" applyProtection="1">
      <alignment horizontal="left" wrapText="1"/>
      <protection hidden="1"/>
    </xf>
    <xf numFmtId="0" fontId="4" fillId="0" borderId="81" xfId="0" applyFont="1" applyFill="1" applyBorder="1" applyAlignment="1" applyProtection="1">
      <alignment horizontal="left" wrapText="1"/>
      <protection hidden="1"/>
    </xf>
    <xf numFmtId="0" fontId="4" fillId="0" borderId="80" xfId="0" applyFont="1" applyFill="1" applyBorder="1" applyAlignment="1" applyProtection="1">
      <alignment horizontal="center" wrapText="1"/>
      <protection hidden="1"/>
    </xf>
    <xf numFmtId="0" fontId="4" fillId="0" borderId="81" xfId="0" applyFont="1" applyFill="1" applyBorder="1" applyAlignment="1" applyProtection="1">
      <alignment horizontal="center" wrapText="1"/>
      <protection hidden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4" fillId="0" borderId="80" xfId="0" applyFont="1" applyFill="1" applyBorder="1" applyAlignment="1" applyProtection="1">
      <alignment horizontal="center" vertical="center" wrapText="1"/>
      <protection hidden="1"/>
    </xf>
    <xf numFmtId="0" fontId="4" fillId="0" borderId="81" xfId="0" applyFont="1" applyFill="1" applyBorder="1" applyAlignment="1" applyProtection="1">
      <alignment horizontal="center" vertical="center" wrapText="1"/>
      <protection hidden="1"/>
    </xf>
    <xf numFmtId="0" fontId="4" fillId="0" borderId="80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/>
    </xf>
    <xf numFmtId="0" fontId="47" fillId="0" borderId="78" xfId="0" applyFont="1" applyFill="1" applyBorder="1" applyAlignment="1">
      <alignment horizontal="left"/>
    </xf>
    <xf numFmtId="0" fontId="47" fillId="0" borderId="81" xfId="0" applyFont="1" applyFill="1" applyBorder="1" applyAlignment="1">
      <alignment horizontal="left"/>
    </xf>
    <xf numFmtId="0" fontId="47" fillId="0" borderId="49" xfId="0" applyFont="1" applyBorder="1" applyAlignment="1">
      <alignment horizontal="left" wrapText="1"/>
    </xf>
    <xf numFmtId="0" fontId="47" fillId="0" borderId="50" xfId="0" applyFont="1" applyBorder="1" applyAlignment="1">
      <alignment horizontal="left" wrapText="1"/>
    </xf>
    <xf numFmtId="0" fontId="4" fillId="0" borderId="87" xfId="0" applyFont="1" applyFill="1" applyBorder="1" applyAlignment="1" applyProtection="1">
      <alignment horizontal="center" vertical="center" wrapText="1"/>
      <protection hidden="1"/>
    </xf>
    <xf numFmtId="0" fontId="4" fillId="0" borderId="85" xfId="0" applyFont="1" applyFill="1" applyBorder="1" applyAlignment="1" applyProtection="1">
      <alignment horizontal="center" vertical="center" wrapText="1"/>
      <protection hidden="1"/>
    </xf>
    <xf numFmtId="0" fontId="50" fillId="0" borderId="0" xfId="0" applyFont="1" applyFill="1" applyBorder="1" applyAlignment="1">
      <alignment horizontal="left" wrapText="1"/>
    </xf>
    <xf numFmtId="0" fontId="47" fillId="0" borderId="84" xfId="0" applyFont="1" applyFill="1" applyBorder="1" applyAlignment="1">
      <alignment horizontal="left"/>
    </xf>
    <xf numFmtId="0" fontId="47" fillId="0" borderId="85" xfId="0" applyFont="1" applyFill="1" applyBorder="1" applyAlignment="1">
      <alignment horizontal="left"/>
    </xf>
    <xf numFmtId="0" fontId="4" fillId="0" borderId="87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8" fillId="3" borderId="3" xfId="0" applyFont="1" applyFill="1" applyBorder="1" applyAlignment="1" applyProtection="1">
      <alignment horizontal="left" wrapText="1"/>
      <protection hidden="1"/>
    </xf>
    <xf numFmtId="0" fontId="8" fillId="3" borderId="32" xfId="0" applyFont="1" applyFill="1" applyBorder="1" applyAlignment="1" applyProtection="1">
      <alignment horizontal="left" wrapText="1"/>
      <protection hidden="1"/>
    </xf>
    <xf numFmtId="0" fontId="8" fillId="3" borderId="33" xfId="0" applyFont="1" applyFill="1" applyBorder="1" applyAlignment="1" applyProtection="1">
      <alignment horizontal="center" wrapText="1"/>
      <protection hidden="1"/>
    </xf>
    <xf numFmtId="0" fontId="8" fillId="3" borderId="32" xfId="0" applyFont="1" applyFill="1" applyBorder="1" applyAlignment="1" applyProtection="1">
      <alignment horizontal="center" wrapText="1"/>
      <protection hidden="1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47" fillId="0" borderId="65" xfId="0" applyFont="1" applyFill="1" applyBorder="1" applyAlignment="1">
      <alignment horizontal="left" vertical="center" wrapText="1"/>
    </xf>
    <xf numFmtId="0" fontId="47" fillId="0" borderId="88" xfId="0" applyFont="1" applyFill="1" applyBorder="1" applyAlignment="1">
      <alignment horizontal="left" vertical="center" wrapText="1"/>
    </xf>
    <xf numFmtId="0" fontId="4" fillId="0" borderId="89" xfId="0" applyFont="1" applyFill="1" applyBorder="1" applyAlignment="1">
      <alignment horizontal="center"/>
    </xf>
    <xf numFmtId="0" fontId="47" fillId="0" borderId="78" xfId="0" applyFont="1" applyFill="1" applyBorder="1" applyAlignment="1">
      <alignment horizontal="center" wrapText="1"/>
    </xf>
    <xf numFmtId="0" fontId="47" fillId="0" borderId="79" xfId="0" applyFont="1" applyFill="1" applyBorder="1" applyAlignment="1">
      <alignment horizontal="center" wrapText="1"/>
    </xf>
    <xf numFmtId="0" fontId="59" fillId="27" borderId="3" xfId="0" applyFont="1" applyFill="1" applyBorder="1" applyAlignment="1">
      <alignment horizontal="center"/>
    </xf>
    <xf numFmtId="0" fontId="59" fillId="27" borderId="5" xfId="0" applyFont="1" applyFill="1" applyBorder="1" applyAlignment="1">
      <alignment horizontal="center"/>
    </xf>
    <xf numFmtId="0" fontId="49" fillId="0" borderId="0" xfId="97" applyFont="1" applyBorder="1" applyAlignment="1">
      <alignment horizontal="center"/>
    </xf>
    <xf numFmtId="0" fontId="3" fillId="0" borderId="0" xfId="97" applyFont="1" applyBorder="1" applyAlignment="1">
      <alignment horizontal="center" vertical="top" wrapText="1"/>
    </xf>
    <xf numFmtId="0" fontId="49" fillId="4" borderId="0" xfId="97" applyFont="1" applyFill="1" applyBorder="1" applyAlignment="1">
      <alignment horizontal="center" vertical="center"/>
    </xf>
    <xf numFmtId="0" fontId="62" fillId="0" borderId="2" xfId="97" applyFont="1" applyBorder="1" applyAlignment="1">
      <alignment horizontal="center"/>
    </xf>
    <xf numFmtId="0" fontId="49" fillId="24" borderId="93" xfId="97" applyFont="1" applyFill="1" applyBorder="1" applyAlignment="1">
      <alignment horizontal="left" vertical="center"/>
    </xf>
    <xf numFmtId="0" fontId="49" fillId="24" borderId="93" xfId="97" applyFont="1" applyFill="1" applyBorder="1" applyAlignment="1">
      <alignment horizontal="center"/>
    </xf>
    <xf numFmtId="0" fontId="49" fillId="24" borderId="96" xfId="97" applyFont="1" applyFill="1" applyBorder="1" applyAlignment="1">
      <alignment horizontal="center"/>
    </xf>
    <xf numFmtId="0" fontId="49" fillId="24" borderId="97" xfId="97" applyFont="1" applyFill="1" applyBorder="1" applyAlignment="1">
      <alignment horizontal="center"/>
    </xf>
    <xf numFmtId="0" fontId="49" fillId="24" borderId="94" xfId="97" applyFont="1" applyFill="1" applyBorder="1" applyAlignment="1">
      <alignment horizontal="center"/>
    </xf>
    <xf numFmtId="0" fontId="63" fillId="0" borderId="0" xfId="0" applyFont="1" applyAlignment="1">
      <alignment horizontal="center" readingOrder="1"/>
    </xf>
    <xf numFmtId="0" fontId="62" fillId="0" borderId="0" xfId="97" applyFont="1" applyBorder="1" applyAlignment="1">
      <alignment horizontal="center"/>
    </xf>
    <xf numFmtId="0" fontId="49" fillId="24" borderId="93" xfId="0" applyFont="1" applyFill="1" applyBorder="1" applyAlignment="1">
      <alignment horizontal="center"/>
    </xf>
    <xf numFmtId="0" fontId="62" fillId="28" borderId="61" xfId="97" applyFont="1" applyFill="1" applyBorder="1" applyAlignment="1">
      <alignment horizontal="center"/>
    </xf>
    <xf numFmtId="0" fontId="62" fillId="0" borderId="61" xfId="97" applyFont="1" applyBorder="1" applyAlignment="1">
      <alignment horizontal="center"/>
    </xf>
    <xf numFmtId="0" fontId="62" fillId="0" borderId="96" xfId="97" applyFont="1" applyBorder="1" applyAlignment="1">
      <alignment horizontal="center"/>
    </xf>
    <xf numFmtId="0" fontId="49" fillId="24" borderId="100" xfId="97" applyFont="1" applyFill="1" applyBorder="1" applyAlignment="1">
      <alignment horizontal="center"/>
    </xf>
    <xf numFmtId="0" fontId="49" fillId="24" borderId="101" xfId="97" applyFont="1" applyFill="1" applyBorder="1" applyAlignment="1">
      <alignment horizontal="center"/>
    </xf>
    <xf numFmtId="0" fontId="49" fillId="24" borderId="93" xfId="97" applyFont="1" applyFill="1" applyBorder="1" applyAlignment="1">
      <alignment horizontal="left" vertical="center" wrapText="1"/>
    </xf>
    <xf numFmtId="0" fontId="62" fillId="0" borderId="64" xfId="97" applyFont="1" applyBorder="1" applyAlignment="1">
      <alignment horizontal="center"/>
    </xf>
    <xf numFmtId="0" fontId="0" fillId="0" borderId="0" xfId="97" applyFont="1" applyBorder="1"/>
  </cellXfs>
  <cellStyles count="202">
    <cellStyle name="20% - Ênfase1 1" xfId="1" xr:uid="{00000000-0005-0000-0000-000000000000}"/>
    <cellStyle name="20% - Ênfase1 2" xfId="2" xr:uid="{00000000-0005-0000-0000-000001000000}"/>
    <cellStyle name="20% - Ênfase1 2 2" xfId="3" xr:uid="{00000000-0005-0000-0000-000002000000}"/>
    <cellStyle name="20% - Ênfase2 1" xfId="4" xr:uid="{00000000-0005-0000-0000-000003000000}"/>
    <cellStyle name="20% - Ênfase2 2" xfId="5" xr:uid="{00000000-0005-0000-0000-000004000000}"/>
    <cellStyle name="20% - Ênfase2 2 2" xfId="6" xr:uid="{00000000-0005-0000-0000-000005000000}"/>
    <cellStyle name="20% - Ênfase3 1" xfId="7" xr:uid="{00000000-0005-0000-0000-000006000000}"/>
    <cellStyle name="20% - Ênfase3 2" xfId="8" xr:uid="{00000000-0005-0000-0000-000007000000}"/>
    <cellStyle name="20% - Ênfase3 2 2" xfId="9" xr:uid="{00000000-0005-0000-0000-000008000000}"/>
    <cellStyle name="20% - Ênfase4 1" xfId="10" xr:uid="{00000000-0005-0000-0000-000009000000}"/>
    <cellStyle name="20% - Ênfase4 2" xfId="11" xr:uid="{00000000-0005-0000-0000-00000A000000}"/>
    <cellStyle name="20% - Ênfase4 2 2" xfId="12" xr:uid="{00000000-0005-0000-0000-00000B000000}"/>
    <cellStyle name="20% - Ênfase5 1" xfId="13" xr:uid="{00000000-0005-0000-0000-00000C000000}"/>
    <cellStyle name="20% - Ênfase5 2" xfId="14" xr:uid="{00000000-0005-0000-0000-00000D000000}"/>
    <cellStyle name="20% - Ênfase5 2 2" xfId="15" xr:uid="{00000000-0005-0000-0000-00000E000000}"/>
    <cellStyle name="20% - Ênfase6 1" xfId="16" xr:uid="{00000000-0005-0000-0000-00000F000000}"/>
    <cellStyle name="20% - Ênfase6 2" xfId="17" xr:uid="{00000000-0005-0000-0000-000010000000}"/>
    <cellStyle name="20% - Ênfase6 2 2" xfId="18" xr:uid="{00000000-0005-0000-0000-000011000000}"/>
    <cellStyle name="40% - Ênfase1 1" xfId="19" xr:uid="{00000000-0005-0000-0000-000012000000}"/>
    <cellStyle name="40% - Ênfase1 2" xfId="20" xr:uid="{00000000-0005-0000-0000-000013000000}"/>
    <cellStyle name="40% - Ênfase1 2 2" xfId="21" xr:uid="{00000000-0005-0000-0000-000014000000}"/>
    <cellStyle name="40% - Ênfase2 1" xfId="22" xr:uid="{00000000-0005-0000-0000-000015000000}"/>
    <cellStyle name="40% - Ênfase2 2" xfId="23" xr:uid="{00000000-0005-0000-0000-000016000000}"/>
    <cellStyle name="40% - Ênfase2 2 2" xfId="24" xr:uid="{00000000-0005-0000-0000-000017000000}"/>
    <cellStyle name="40% - Ênfase3 1" xfId="25" xr:uid="{00000000-0005-0000-0000-000018000000}"/>
    <cellStyle name="40% - Ênfase3 2" xfId="26" xr:uid="{00000000-0005-0000-0000-000019000000}"/>
    <cellStyle name="40% - Ênfase3 2 2" xfId="27" xr:uid="{00000000-0005-0000-0000-00001A000000}"/>
    <cellStyle name="40% - Ênfase4 1" xfId="28" xr:uid="{00000000-0005-0000-0000-00001B000000}"/>
    <cellStyle name="40% - Ênfase4 2" xfId="29" xr:uid="{00000000-0005-0000-0000-00001C000000}"/>
    <cellStyle name="40% - Ênfase4 2 2" xfId="30" xr:uid="{00000000-0005-0000-0000-00001D000000}"/>
    <cellStyle name="40% - Ênfase5 1" xfId="31" xr:uid="{00000000-0005-0000-0000-00001E000000}"/>
    <cellStyle name="40% - Ênfase5 2" xfId="32" xr:uid="{00000000-0005-0000-0000-00001F000000}"/>
    <cellStyle name="40% - Ênfase5 2 2" xfId="33" xr:uid="{00000000-0005-0000-0000-000020000000}"/>
    <cellStyle name="40% - Ênfase6 1" xfId="34" xr:uid="{00000000-0005-0000-0000-000021000000}"/>
    <cellStyle name="40% - Ênfase6 2" xfId="35" xr:uid="{00000000-0005-0000-0000-000022000000}"/>
    <cellStyle name="40% - Ênfase6 2 2" xfId="36" xr:uid="{00000000-0005-0000-0000-000023000000}"/>
    <cellStyle name="60% - Ênfase1 1" xfId="37" xr:uid="{00000000-0005-0000-0000-000024000000}"/>
    <cellStyle name="60% - Ênfase1 2" xfId="38" xr:uid="{00000000-0005-0000-0000-000025000000}"/>
    <cellStyle name="60% - Ênfase1 2 2" xfId="39" xr:uid="{00000000-0005-0000-0000-000026000000}"/>
    <cellStyle name="60% - Ênfase2 1" xfId="40" xr:uid="{00000000-0005-0000-0000-000027000000}"/>
    <cellStyle name="60% - Ênfase2 2" xfId="41" xr:uid="{00000000-0005-0000-0000-000028000000}"/>
    <cellStyle name="60% - Ênfase2 2 2" xfId="42" xr:uid="{00000000-0005-0000-0000-000029000000}"/>
    <cellStyle name="60% - Ênfase3 1" xfId="43" xr:uid="{00000000-0005-0000-0000-00002A000000}"/>
    <cellStyle name="60% - Ênfase3 2" xfId="44" xr:uid="{00000000-0005-0000-0000-00002B000000}"/>
    <cellStyle name="60% - Ênfase3 2 2" xfId="45" xr:uid="{00000000-0005-0000-0000-00002C000000}"/>
    <cellStyle name="60% - Ênfase4 1" xfId="46" xr:uid="{00000000-0005-0000-0000-00002D000000}"/>
    <cellStyle name="60% - Ênfase4 2" xfId="47" xr:uid="{00000000-0005-0000-0000-00002E000000}"/>
    <cellStyle name="60% - Ênfase4 2 2" xfId="48" xr:uid="{00000000-0005-0000-0000-00002F000000}"/>
    <cellStyle name="60% - Ênfase5 1" xfId="49" xr:uid="{00000000-0005-0000-0000-000030000000}"/>
    <cellStyle name="60% - Ênfase5 2" xfId="50" xr:uid="{00000000-0005-0000-0000-000031000000}"/>
    <cellStyle name="60% - Ênfase5 2 2" xfId="51" xr:uid="{00000000-0005-0000-0000-000032000000}"/>
    <cellStyle name="60% - Ênfase6 1" xfId="52" xr:uid="{00000000-0005-0000-0000-000033000000}"/>
    <cellStyle name="60% - Ênfase6 2" xfId="53" xr:uid="{00000000-0005-0000-0000-000034000000}"/>
    <cellStyle name="60% - Ênfase6 2 2" xfId="54" xr:uid="{00000000-0005-0000-0000-000035000000}"/>
    <cellStyle name="Bom 1" xfId="55" xr:uid="{00000000-0005-0000-0000-000036000000}"/>
    <cellStyle name="Bom 2" xfId="56" xr:uid="{00000000-0005-0000-0000-000037000000}"/>
    <cellStyle name="Bom 2 2" xfId="57" xr:uid="{00000000-0005-0000-0000-000038000000}"/>
    <cellStyle name="Cálculo 1" xfId="58" xr:uid="{00000000-0005-0000-0000-000039000000}"/>
    <cellStyle name="Cálculo 2" xfId="59" xr:uid="{00000000-0005-0000-0000-00003A000000}"/>
    <cellStyle name="Cálculo 2 2" xfId="60" xr:uid="{00000000-0005-0000-0000-00003B000000}"/>
    <cellStyle name="Célula de Verificação 1" xfId="61" xr:uid="{00000000-0005-0000-0000-00003C000000}"/>
    <cellStyle name="Célula de Verificação 2" xfId="62" xr:uid="{00000000-0005-0000-0000-00003D000000}"/>
    <cellStyle name="Célula de Verificação 2 2" xfId="63" xr:uid="{00000000-0005-0000-0000-00003E000000}"/>
    <cellStyle name="Célula Vinculada 1" xfId="64" xr:uid="{00000000-0005-0000-0000-00003F000000}"/>
    <cellStyle name="Célula Vinculada 2" xfId="65" xr:uid="{00000000-0005-0000-0000-000040000000}"/>
    <cellStyle name="Célula Vinculada 2 2" xfId="66" xr:uid="{00000000-0005-0000-0000-000041000000}"/>
    <cellStyle name="Ênfase1 1" xfId="67" xr:uid="{00000000-0005-0000-0000-000042000000}"/>
    <cellStyle name="Ênfase1 2" xfId="68" xr:uid="{00000000-0005-0000-0000-000043000000}"/>
    <cellStyle name="Ênfase1 2 2" xfId="69" xr:uid="{00000000-0005-0000-0000-000044000000}"/>
    <cellStyle name="Ênfase2 1" xfId="70" xr:uid="{00000000-0005-0000-0000-000045000000}"/>
    <cellStyle name="Ênfase2 2" xfId="71" xr:uid="{00000000-0005-0000-0000-000046000000}"/>
    <cellStyle name="Ênfase2 2 2" xfId="72" xr:uid="{00000000-0005-0000-0000-000047000000}"/>
    <cellStyle name="Ênfase3 1" xfId="73" xr:uid="{00000000-0005-0000-0000-000048000000}"/>
    <cellStyle name="Ênfase3 2" xfId="74" xr:uid="{00000000-0005-0000-0000-000049000000}"/>
    <cellStyle name="Ênfase3 2 2" xfId="75" xr:uid="{00000000-0005-0000-0000-00004A000000}"/>
    <cellStyle name="Ênfase4 1" xfId="76" xr:uid="{00000000-0005-0000-0000-00004B000000}"/>
    <cellStyle name="Ênfase4 2" xfId="77" xr:uid="{00000000-0005-0000-0000-00004C000000}"/>
    <cellStyle name="Ênfase4 2 2" xfId="78" xr:uid="{00000000-0005-0000-0000-00004D000000}"/>
    <cellStyle name="Ênfase5 1" xfId="79" xr:uid="{00000000-0005-0000-0000-00004E000000}"/>
    <cellStyle name="Ênfase5 2" xfId="80" xr:uid="{00000000-0005-0000-0000-00004F000000}"/>
    <cellStyle name="Ênfase5 2 2" xfId="81" xr:uid="{00000000-0005-0000-0000-000050000000}"/>
    <cellStyle name="Ênfase6 1" xfId="82" xr:uid="{00000000-0005-0000-0000-000051000000}"/>
    <cellStyle name="Ênfase6 2" xfId="83" xr:uid="{00000000-0005-0000-0000-000052000000}"/>
    <cellStyle name="Ênfase6 2 2" xfId="84" xr:uid="{00000000-0005-0000-0000-000053000000}"/>
    <cellStyle name="Entrada 1" xfId="85" xr:uid="{00000000-0005-0000-0000-000054000000}"/>
    <cellStyle name="Entrada 2" xfId="86" xr:uid="{00000000-0005-0000-0000-000055000000}"/>
    <cellStyle name="Entrada 2 2" xfId="87" xr:uid="{00000000-0005-0000-0000-000056000000}"/>
    <cellStyle name="Excel Built-in Excel Built-in Excel Built-in Excel Built-in Excel Built-in Excel Built-in Excel Built-in Excel Built-in Excel Built-in Excel Built-in Excel Built-in Excel Built-in Excel Built-in Excel Built-in Excel Built-in Normal" xfId="171" xr:uid="{00000000-0005-0000-0000-000057000000}"/>
    <cellStyle name="Excel Built-in Normal" xfId="88" xr:uid="{00000000-0005-0000-0000-000058000000}"/>
    <cellStyle name="Excel_BuiltIn_Currency" xfId="168" xr:uid="{00000000-0005-0000-0000-000059000000}"/>
    <cellStyle name="Incorreto 1" xfId="89" xr:uid="{00000000-0005-0000-0000-00005A000000}"/>
    <cellStyle name="Incorreto 2" xfId="90" xr:uid="{00000000-0005-0000-0000-00005B000000}"/>
    <cellStyle name="Incorreto 2 2" xfId="91" xr:uid="{00000000-0005-0000-0000-00005C000000}"/>
    <cellStyle name="Moeda 2" xfId="152" xr:uid="{00000000-0005-0000-0000-00005D000000}"/>
    <cellStyle name="Moeda 2 2" xfId="92" xr:uid="{00000000-0005-0000-0000-00005E000000}"/>
    <cellStyle name="Moeda 3" xfId="153" xr:uid="{00000000-0005-0000-0000-00005F000000}"/>
    <cellStyle name="Neutra 1" xfId="93" xr:uid="{00000000-0005-0000-0000-000060000000}"/>
    <cellStyle name="Neutra 2" xfId="94" xr:uid="{00000000-0005-0000-0000-000061000000}"/>
    <cellStyle name="Neutra 2 2" xfId="95" xr:uid="{00000000-0005-0000-0000-000062000000}"/>
    <cellStyle name="Normal" xfId="0" builtinId="0"/>
    <cellStyle name="Normal 10" xfId="181" xr:uid="{00000000-0005-0000-0000-000064000000}"/>
    <cellStyle name="Normal 11" xfId="179" xr:uid="{00000000-0005-0000-0000-000065000000}"/>
    <cellStyle name="Normal 2" xfId="96" xr:uid="{00000000-0005-0000-0000-000066000000}"/>
    <cellStyle name="Normal 2 2" xfId="97" xr:uid="{00000000-0005-0000-0000-000067000000}"/>
    <cellStyle name="Normal 2 2 2" xfId="98" xr:uid="{00000000-0005-0000-0000-000068000000}"/>
    <cellStyle name="Normal 2 2 3" xfId="182" xr:uid="{00000000-0005-0000-0000-000069000000}"/>
    <cellStyle name="Normal 2 2 4" xfId="183" xr:uid="{00000000-0005-0000-0000-00006A000000}"/>
    <cellStyle name="Normal 2 2 5" xfId="184" xr:uid="{00000000-0005-0000-0000-00006B000000}"/>
    <cellStyle name="Normal 2 2 6" xfId="185" xr:uid="{00000000-0005-0000-0000-00006C000000}"/>
    <cellStyle name="Normal 2 2 7" xfId="186" xr:uid="{00000000-0005-0000-0000-00006D000000}"/>
    <cellStyle name="Normal 2 3" xfId="99" xr:uid="{00000000-0005-0000-0000-00006E000000}"/>
    <cellStyle name="Normal 2 4" xfId="187" xr:uid="{00000000-0005-0000-0000-00006F000000}"/>
    <cellStyle name="Normal 2 5" xfId="188" xr:uid="{00000000-0005-0000-0000-000070000000}"/>
    <cellStyle name="Normal 2 6" xfId="189" xr:uid="{00000000-0005-0000-0000-000071000000}"/>
    <cellStyle name="Normal 2 7" xfId="190" xr:uid="{00000000-0005-0000-0000-000072000000}"/>
    <cellStyle name="Normal 2 8" xfId="191" xr:uid="{00000000-0005-0000-0000-000073000000}"/>
    <cellStyle name="Normal 3" xfId="100" xr:uid="{00000000-0005-0000-0000-000074000000}"/>
    <cellStyle name="Normal 3 2" xfId="101" xr:uid="{00000000-0005-0000-0000-000075000000}"/>
    <cellStyle name="Normal 4" xfId="154" xr:uid="{00000000-0005-0000-0000-000076000000}"/>
    <cellStyle name="Normal 5" xfId="155" xr:uid="{00000000-0005-0000-0000-000077000000}"/>
    <cellStyle name="Normal 6" xfId="169" xr:uid="{00000000-0005-0000-0000-000078000000}"/>
    <cellStyle name="Normal 6 2" xfId="176" xr:uid="{00000000-0005-0000-0000-000079000000}"/>
    <cellStyle name="Normal 7" xfId="170" xr:uid="{00000000-0005-0000-0000-00007A000000}"/>
    <cellStyle name="Normal 7 2" xfId="177" xr:uid="{00000000-0005-0000-0000-00007B000000}"/>
    <cellStyle name="Normal 8" xfId="173" xr:uid="{00000000-0005-0000-0000-00007C000000}"/>
    <cellStyle name="Normal 8 2" xfId="178" xr:uid="{00000000-0005-0000-0000-00007D000000}"/>
    <cellStyle name="Normal 9" xfId="180" xr:uid="{00000000-0005-0000-0000-00007E000000}"/>
    <cellStyle name="Nota 1" xfId="102" xr:uid="{00000000-0005-0000-0000-00007F000000}"/>
    <cellStyle name="Nota 2" xfId="103" xr:uid="{00000000-0005-0000-0000-000080000000}"/>
    <cellStyle name="Nota 2 2" xfId="104" xr:uid="{00000000-0005-0000-0000-000081000000}"/>
    <cellStyle name="Percent 2" xfId="156" xr:uid="{00000000-0005-0000-0000-000082000000}"/>
    <cellStyle name="Porcentagem" xfId="151" builtinId="5"/>
    <cellStyle name="Porcentagem 2" xfId="105" xr:uid="{00000000-0005-0000-0000-000084000000}"/>
    <cellStyle name="Porcentagem 2 2" xfId="106" xr:uid="{00000000-0005-0000-0000-000085000000}"/>
    <cellStyle name="Porcentagem 2 3" xfId="174" xr:uid="{00000000-0005-0000-0000-000086000000}"/>
    <cellStyle name="Porcentagem 2 4" xfId="192" xr:uid="{00000000-0005-0000-0000-000087000000}"/>
    <cellStyle name="Porcentagem 2 5" xfId="193" xr:uid="{00000000-0005-0000-0000-000088000000}"/>
    <cellStyle name="Porcentagem 2 6" xfId="194" xr:uid="{00000000-0005-0000-0000-000089000000}"/>
    <cellStyle name="Porcentagem 2 7" xfId="195" xr:uid="{00000000-0005-0000-0000-00008A000000}"/>
    <cellStyle name="Porcentagem 2 8" xfId="196" xr:uid="{00000000-0005-0000-0000-00008B000000}"/>
    <cellStyle name="Porcentagem 3" xfId="157" xr:uid="{00000000-0005-0000-0000-00008C000000}"/>
    <cellStyle name="Porcentagem 3 2" xfId="175" xr:uid="{00000000-0005-0000-0000-00008D000000}"/>
    <cellStyle name="Porcentagem 3 3" xfId="197" xr:uid="{00000000-0005-0000-0000-00008E000000}"/>
    <cellStyle name="Porcentagem 3 4" xfId="198" xr:uid="{00000000-0005-0000-0000-00008F000000}"/>
    <cellStyle name="Porcentagem 3 5" xfId="199" xr:uid="{00000000-0005-0000-0000-000090000000}"/>
    <cellStyle name="Porcentagem 3 6" xfId="200" xr:uid="{00000000-0005-0000-0000-000091000000}"/>
    <cellStyle name="Porcentagem 3 7" xfId="201" xr:uid="{00000000-0005-0000-0000-000092000000}"/>
    <cellStyle name="Porcentagem 4" xfId="172" xr:uid="{00000000-0005-0000-0000-000093000000}"/>
    <cellStyle name="Saída 1" xfId="107" xr:uid="{00000000-0005-0000-0000-000094000000}"/>
    <cellStyle name="Saída 2" xfId="108" xr:uid="{00000000-0005-0000-0000-000095000000}"/>
    <cellStyle name="Saída 2 2" xfId="109" xr:uid="{00000000-0005-0000-0000-000096000000}"/>
    <cellStyle name="Separador de milhares 2" xfId="110" xr:uid="{00000000-0005-0000-0000-000097000000}"/>
    <cellStyle name="TableStyleLight1" xfId="158" xr:uid="{00000000-0005-0000-0000-000098000000}"/>
    <cellStyle name="Texto de Aviso 1" xfId="111" xr:uid="{00000000-0005-0000-0000-000099000000}"/>
    <cellStyle name="Texto de Aviso 2" xfId="112" xr:uid="{00000000-0005-0000-0000-00009A000000}"/>
    <cellStyle name="Texto de Aviso 2 2" xfId="113" xr:uid="{00000000-0005-0000-0000-00009B000000}"/>
    <cellStyle name="Texto Explicativo 1" xfId="114" xr:uid="{00000000-0005-0000-0000-00009C000000}"/>
    <cellStyle name="Texto Explicativo 2" xfId="115" xr:uid="{00000000-0005-0000-0000-00009D000000}"/>
    <cellStyle name="Texto Explicativo 2 2" xfId="116" xr:uid="{00000000-0005-0000-0000-00009E000000}"/>
    <cellStyle name="Título 1 1" xfId="117" xr:uid="{00000000-0005-0000-0000-00009F000000}"/>
    <cellStyle name="Título 1 1 1" xfId="118" xr:uid="{00000000-0005-0000-0000-0000A0000000}"/>
    <cellStyle name="Título 1 1 1 1" xfId="119" xr:uid="{00000000-0005-0000-0000-0000A1000000}"/>
    <cellStyle name="Título 1 1 1 1 1" xfId="120" xr:uid="{00000000-0005-0000-0000-0000A2000000}"/>
    <cellStyle name="Título 1 1 1 1 1 1" xfId="121" xr:uid="{00000000-0005-0000-0000-0000A3000000}"/>
    <cellStyle name="Título 1 1 1 1 1 1 1" xfId="122" xr:uid="{00000000-0005-0000-0000-0000A4000000}"/>
    <cellStyle name="Título 1 1 1 1 1 1 1 1" xfId="123" xr:uid="{00000000-0005-0000-0000-0000A5000000}"/>
    <cellStyle name="Título 1 1 1 1 1 1 1 1 1" xfId="124" xr:uid="{00000000-0005-0000-0000-0000A6000000}"/>
    <cellStyle name="Título 1 1 1 1 1 1 1 1 1 1" xfId="125" xr:uid="{00000000-0005-0000-0000-0000A7000000}"/>
    <cellStyle name="Título 1 1 1 1 1 1 1 1 1 1 1" xfId="126" xr:uid="{00000000-0005-0000-0000-0000A8000000}"/>
    <cellStyle name="Título 1 1 1 1 1 1 1 1 1 1 1 1" xfId="127" xr:uid="{00000000-0005-0000-0000-0000A9000000}"/>
    <cellStyle name="Título 1 1 1 1 1 1 1 1 1 1 1 1 1" xfId="128" xr:uid="{00000000-0005-0000-0000-0000AA000000}"/>
    <cellStyle name="Título 1 1 1 1 1 1 1 1 1 1 1 1 1 1" xfId="129" xr:uid="{00000000-0005-0000-0000-0000AB000000}"/>
    <cellStyle name="Título 1 1 1 1 1 1 1 1 1 1 1 1 1 1 1" xfId="130" xr:uid="{00000000-0005-0000-0000-0000AC000000}"/>
    <cellStyle name="Título 1 1 1 1 1 1 1 1 1 1 1 1 1 2" xfId="159" xr:uid="{00000000-0005-0000-0000-0000AD000000}"/>
    <cellStyle name="Título 1 1 1 1 1 1 1 1 1 1 1 1 2" xfId="160" xr:uid="{00000000-0005-0000-0000-0000AE000000}"/>
    <cellStyle name="Título 1 1 1 1 1 1 1 1 1 1 1 2" xfId="161" xr:uid="{00000000-0005-0000-0000-0000AF000000}"/>
    <cellStyle name="Título 1 1 1 1 1 1 1 1 1 1 2" xfId="162" xr:uid="{00000000-0005-0000-0000-0000B0000000}"/>
    <cellStyle name="Título 1 1 1 1 1 1 1 1 1 2" xfId="163" xr:uid="{00000000-0005-0000-0000-0000B1000000}"/>
    <cellStyle name="Título 1 1 1 1 1 1 1 1 2" xfId="164" xr:uid="{00000000-0005-0000-0000-0000B2000000}"/>
    <cellStyle name="Título 1 1 1 1 1 1 1 2" xfId="165" xr:uid="{00000000-0005-0000-0000-0000B3000000}"/>
    <cellStyle name="Título 1 1 1 1 1 1 2" xfId="166" xr:uid="{00000000-0005-0000-0000-0000B4000000}"/>
    <cellStyle name="Título 1 1 1 1 1 2" xfId="167" xr:uid="{00000000-0005-0000-0000-0000B5000000}"/>
    <cellStyle name="Título 1 1 1 1 2" xfId="131" xr:uid="{00000000-0005-0000-0000-0000B6000000}"/>
    <cellStyle name="Título 1 1 1 2" xfId="132" xr:uid="{00000000-0005-0000-0000-0000B7000000}"/>
    <cellStyle name="Título 1 1 2" xfId="133" xr:uid="{00000000-0005-0000-0000-0000B8000000}"/>
    <cellStyle name="Título 1 2" xfId="134" xr:uid="{00000000-0005-0000-0000-0000B9000000}"/>
    <cellStyle name="Título 1 2 2" xfId="135" xr:uid="{00000000-0005-0000-0000-0000BA000000}"/>
    <cellStyle name="Título 1 3" xfId="136" xr:uid="{00000000-0005-0000-0000-0000BB000000}"/>
    <cellStyle name="Título 2 1" xfId="137" xr:uid="{00000000-0005-0000-0000-0000BC000000}"/>
    <cellStyle name="Título 2 2" xfId="138" xr:uid="{00000000-0005-0000-0000-0000BD000000}"/>
    <cellStyle name="Título 2 2 2" xfId="139" xr:uid="{00000000-0005-0000-0000-0000BE000000}"/>
    <cellStyle name="Título 3 1" xfId="140" xr:uid="{00000000-0005-0000-0000-0000BF000000}"/>
    <cellStyle name="Título 3 2" xfId="141" xr:uid="{00000000-0005-0000-0000-0000C0000000}"/>
    <cellStyle name="Título 3 2 2" xfId="142" xr:uid="{00000000-0005-0000-0000-0000C1000000}"/>
    <cellStyle name="Título 4 1" xfId="143" xr:uid="{00000000-0005-0000-0000-0000C2000000}"/>
    <cellStyle name="Título 4 2" xfId="144" xr:uid="{00000000-0005-0000-0000-0000C3000000}"/>
    <cellStyle name="Título 4 2 2" xfId="145" xr:uid="{00000000-0005-0000-0000-0000C4000000}"/>
    <cellStyle name="Título 5" xfId="146" xr:uid="{00000000-0005-0000-0000-0000C5000000}"/>
    <cellStyle name="Título 6" xfId="147" xr:uid="{00000000-0005-0000-0000-0000C6000000}"/>
    <cellStyle name="Total 1" xfId="148" xr:uid="{00000000-0005-0000-0000-0000C7000000}"/>
    <cellStyle name="Total 2" xfId="149" xr:uid="{00000000-0005-0000-0000-0000C8000000}"/>
    <cellStyle name="Total 2 2" xfId="150" xr:uid="{00000000-0005-0000-0000-0000C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2.png"/><Relationship Id="rId1" Type="http://schemas.openxmlformats.org/officeDocument/2006/relationships/image" Target="../media/image7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2.png"/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2.png"/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0</xdr:row>
      <xdr:rowOff>47625</xdr:rowOff>
    </xdr:from>
    <xdr:to>
      <xdr:col>8</xdr:col>
      <xdr:colOff>2200275</xdr:colOff>
      <xdr:row>5</xdr:row>
      <xdr:rowOff>190500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390525" y="47625"/>
          <a:ext cx="16166523" cy="1112693"/>
          <a:chOff x="2664154" y="39716"/>
          <a:chExt cx="9795941" cy="900183"/>
        </a:xfrm>
      </xdr:grpSpPr>
      <xdr:pic>
        <xdr:nvPicPr>
          <xdr:cNvPr id="3" name="Figuras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664154" y="140049"/>
            <a:ext cx="496010" cy="733012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</xdr:pic>
      <xdr:pic>
        <xdr:nvPicPr>
          <xdr:cNvPr id="4" name="Imagem 8" descr="C:\Users\6260598\Pictures\HYGIA.png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1772901" y="39716"/>
            <a:ext cx="687194" cy="9001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 fLocksText="0">
        <xdr:nvSpPr>
          <xdr:cNvPr id="5" name="Text Box 2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98743" y="163879"/>
            <a:ext cx="7534452" cy="527693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  <xdr:txBody>
          <a:bodyPr vertOverflow="clip" wrap="square" lIns="36000" tIns="36000" rIns="36000" bIns="36000" anchor="ctr" upright="1"/>
          <a:lstStyle/>
          <a:p>
            <a:pPr algn="ctr" rtl="0">
              <a:defRPr sz="1000"/>
            </a:pPr>
            <a:r>
              <a:rPr lang="pt-BR" sz="1100" b="0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pt-BR" sz="1100" b="1" i="0" strike="noStrike">
                <a:solidFill>
                  <a:srgbClr val="000000"/>
                </a:solidFill>
                <a:latin typeface="Arial"/>
                <a:cs typeface="Arial"/>
              </a:rPr>
              <a:t>HOSPITAL MUNICIPAL DE BARUERI - DR. FRANCISCO MORAN</a:t>
            </a:r>
          </a:p>
          <a:p>
            <a:pPr algn="ctr" rtl="0">
              <a:defRPr sz="1000"/>
            </a:pPr>
            <a:r>
              <a:rPr lang="pt-BR" sz="1100" b="1" i="0" strike="noStrike">
                <a:solidFill>
                  <a:srgbClr val="000000"/>
                </a:solidFill>
                <a:latin typeface="Arial"/>
                <a:cs typeface="Arial"/>
              </a:rPr>
              <a:t>Instituto Hygia Sáude e Desenvolvimento Social</a:t>
            </a:r>
          </a:p>
        </xdr:txBody>
      </xdr:sp>
    </xdr:grpSp>
    <xdr:clientData/>
  </xdr:twoCellAnchor>
  <xdr:twoCellAnchor>
    <xdr:from>
      <xdr:col>0</xdr:col>
      <xdr:colOff>390525</xdr:colOff>
      <xdr:row>0</xdr:row>
      <xdr:rowOff>47625</xdr:rowOff>
    </xdr:from>
    <xdr:to>
      <xdr:col>8</xdr:col>
      <xdr:colOff>2200275</xdr:colOff>
      <xdr:row>5</xdr:row>
      <xdr:rowOff>190500</xdr:rowOff>
    </xdr:to>
    <xdr:grpSp>
      <xdr:nvGrpSpPr>
        <xdr:cNvPr id="6" name="Grupo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>
          <a:grpSpLocks/>
        </xdr:cNvGrpSpPr>
      </xdr:nvGrpSpPr>
      <xdr:grpSpPr bwMode="auto">
        <a:xfrm>
          <a:off x="390525" y="47625"/>
          <a:ext cx="16166523" cy="1112693"/>
          <a:chOff x="2664154" y="39716"/>
          <a:chExt cx="9795941" cy="900183"/>
        </a:xfrm>
      </xdr:grpSpPr>
      <xdr:pic>
        <xdr:nvPicPr>
          <xdr:cNvPr id="7" name="Figuras 2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2664154" y="140049"/>
            <a:ext cx="496010" cy="733012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</xdr:pic>
      <xdr:pic>
        <xdr:nvPicPr>
          <xdr:cNvPr id="8" name="Imagem 8" descr="C:\Users\6260598\Pictures\HYGIA.png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1772901" y="39716"/>
            <a:ext cx="687194" cy="9001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 fLocksText="0">
        <xdr:nvSpPr>
          <xdr:cNvPr id="9" name="Text Box 2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96603" y="163879"/>
            <a:ext cx="7533559" cy="527693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  <xdr:txBody>
          <a:bodyPr vertOverflow="clip" wrap="square" lIns="36000" tIns="36000" rIns="36000" bIns="36000" anchor="ctr" upright="1"/>
          <a:lstStyle/>
          <a:p>
            <a:pPr algn="ctr" rtl="0">
              <a:defRPr sz="1000"/>
            </a:pPr>
            <a:r>
              <a:rPr lang="pt-BR" sz="1100" b="0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pt-BR" sz="1100" b="1" i="0" strike="noStrike">
                <a:solidFill>
                  <a:srgbClr val="000000"/>
                </a:solidFill>
                <a:latin typeface="Arial"/>
                <a:cs typeface="Arial"/>
              </a:rPr>
              <a:t>HOSPITAL MUNICIPAL DE BARUERI - DR. FRANCISCO MORAN</a:t>
            </a:r>
          </a:p>
          <a:p>
            <a:pPr algn="ctr" rtl="0">
              <a:defRPr sz="1000"/>
            </a:pPr>
            <a:r>
              <a:rPr lang="pt-BR" sz="1100" b="1" i="0" strike="noStrike">
                <a:solidFill>
                  <a:srgbClr val="000000"/>
                </a:solidFill>
                <a:latin typeface="Arial"/>
                <a:cs typeface="Arial"/>
              </a:rPr>
              <a:t>Instituto Hygia Sáude e Desenvolvimento Social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0</xdr:row>
      <xdr:rowOff>47625</xdr:rowOff>
    </xdr:from>
    <xdr:to>
      <xdr:col>8</xdr:col>
      <xdr:colOff>2200275</xdr:colOff>
      <xdr:row>5</xdr:row>
      <xdr:rowOff>190500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390525" y="47625"/>
          <a:ext cx="16166523" cy="1112693"/>
          <a:chOff x="2664154" y="39716"/>
          <a:chExt cx="9795941" cy="900183"/>
        </a:xfrm>
      </xdr:grpSpPr>
      <xdr:pic>
        <xdr:nvPicPr>
          <xdr:cNvPr id="3" name="Figuras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664154" y="140049"/>
            <a:ext cx="496010" cy="733012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</xdr:pic>
      <xdr:pic>
        <xdr:nvPicPr>
          <xdr:cNvPr id="4" name="Imagem 8" descr="C:\Users\6260598\Pictures\HYGIA.png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1772901" y="39716"/>
            <a:ext cx="687194" cy="9001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 fLocksText="0">
        <xdr:nvSpPr>
          <xdr:cNvPr id="5" name="Text Box 2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98743" y="163879"/>
            <a:ext cx="7534452" cy="527693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  <xdr:txBody>
          <a:bodyPr vertOverflow="clip" wrap="square" lIns="36000" tIns="36000" rIns="36000" bIns="36000" anchor="ctr" upright="1"/>
          <a:lstStyle/>
          <a:p>
            <a:pPr algn="ctr" rtl="0">
              <a:defRPr sz="1000"/>
            </a:pPr>
            <a:r>
              <a:rPr lang="pt-BR" sz="1100" b="0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pt-BR" sz="1100" b="1" i="0" strike="noStrike">
                <a:solidFill>
                  <a:srgbClr val="000000"/>
                </a:solidFill>
                <a:latin typeface="Arial"/>
                <a:cs typeface="Arial"/>
              </a:rPr>
              <a:t>HOSPITAL MUNICIPAL DE BARUERI - DR. FRANCISCO MORAN</a:t>
            </a:r>
          </a:p>
          <a:p>
            <a:pPr algn="ctr" rtl="0">
              <a:defRPr sz="1000"/>
            </a:pPr>
            <a:r>
              <a:rPr lang="pt-BR" sz="1100" b="1" i="0" strike="noStrike">
                <a:solidFill>
                  <a:srgbClr val="000000"/>
                </a:solidFill>
                <a:latin typeface="Arial"/>
                <a:cs typeface="Arial"/>
              </a:rPr>
              <a:t>Instituto Hygia Sáude e Desenvolvimento Social</a:t>
            </a:r>
          </a:p>
        </xdr:txBody>
      </xdr:sp>
    </xdr:grpSp>
    <xdr:clientData/>
  </xdr:twoCellAnchor>
  <xdr:twoCellAnchor>
    <xdr:from>
      <xdr:col>0</xdr:col>
      <xdr:colOff>390525</xdr:colOff>
      <xdr:row>0</xdr:row>
      <xdr:rowOff>47625</xdr:rowOff>
    </xdr:from>
    <xdr:to>
      <xdr:col>8</xdr:col>
      <xdr:colOff>2200275</xdr:colOff>
      <xdr:row>5</xdr:row>
      <xdr:rowOff>190500</xdr:rowOff>
    </xdr:to>
    <xdr:grpSp>
      <xdr:nvGrpSpPr>
        <xdr:cNvPr id="6" name="Grupo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>
          <a:grpSpLocks/>
        </xdr:cNvGrpSpPr>
      </xdr:nvGrpSpPr>
      <xdr:grpSpPr bwMode="auto">
        <a:xfrm>
          <a:off x="390525" y="47625"/>
          <a:ext cx="16166523" cy="1112693"/>
          <a:chOff x="2664154" y="39716"/>
          <a:chExt cx="9795941" cy="900183"/>
        </a:xfrm>
      </xdr:grpSpPr>
      <xdr:pic>
        <xdr:nvPicPr>
          <xdr:cNvPr id="7" name="Figuras 2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2664154" y="140049"/>
            <a:ext cx="496010" cy="733012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</xdr:pic>
      <xdr:pic>
        <xdr:nvPicPr>
          <xdr:cNvPr id="8" name="Imagem 8" descr="C:\Users\6260598\Pictures\HYGIA.png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1772901" y="39716"/>
            <a:ext cx="687194" cy="9001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 fLocksText="0">
        <xdr:nvSpPr>
          <xdr:cNvPr id="9" name="Text Box 2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97170" y="163879"/>
            <a:ext cx="7534465" cy="527693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  <xdr:txBody>
          <a:bodyPr vertOverflow="clip" wrap="square" lIns="36000" tIns="36000" rIns="36000" bIns="36000" anchor="ctr" upright="1"/>
          <a:lstStyle/>
          <a:p>
            <a:pPr algn="ctr" rtl="0">
              <a:defRPr sz="1000"/>
            </a:pPr>
            <a:r>
              <a:rPr lang="pt-BR" sz="1100" b="0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pt-BR" sz="1100" b="1" i="0" strike="noStrike">
                <a:solidFill>
                  <a:srgbClr val="000000"/>
                </a:solidFill>
                <a:latin typeface="Arial"/>
                <a:cs typeface="Arial"/>
              </a:rPr>
              <a:t>HOSPITAL MUNICIPAL DE BARUERI - DR. FRANCISCO MORAN</a:t>
            </a:r>
          </a:p>
          <a:p>
            <a:pPr algn="ctr" rtl="0">
              <a:defRPr sz="1000"/>
            </a:pPr>
            <a:r>
              <a:rPr lang="pt-BR" sz="1100" b="1" i="0" strike="noStrike">
                <a:solidFill>
                  <a:srgbClr val="000000"/>
                </a:solidFill>
                <a:latin typeface="Arial"/>
                <a:cs typeface="Arial"/>
              </a:rPr>
              <a:t>Instituto Hygia Sáude e Desenvolvimento Social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0</xdr:row>
      <xdr:rowOff>47625</xdr:rowOff>
    </xdr:from>
    <xdr:to>
      <xdr:col>9</xdr:col>
      <xdr:colOff>935182</xdr:colOff>
      <xdr:row>5</xdr:row>
      <xdr:rowOff>190500</xdr:rowOff>
    </xdr:to>
    <xdr:grpSp>
      <xdr:nvGrpSpPr>
        <xdr:cNvPr id="6" name="Grupo 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>
          <a:grpSpLocks/>
        </xdr:cNvGrpSpPr>
      </xdr:nvGrpSpPr>
      <xdr:grpSpPr bwMode="auto">
        <a:xfrm>
          <a:off x="390525" y="47625"/>
          <a:ext cx="17637702" cy="1112693"/>
          <a:chOff x="2664154" y="39716"/>
          <a:chExt cx="9795941" cy="900183"/>
        </a:xfrm>
      </xdr:grpSpPr>
      <xdr:pic>
        <xdr:nvPicPr>
          <xdr:cNvPr id="7" name="Figuras 2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664154" y="140049"/>
            <a:ext cx="496010" cy="733012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</xdr:pic>
      <xdr:pic>
        <xdr:nvPicPr>
          <xdr:cNvPr id="8" name="Imagem 8" descr="C:\Users\6260598\Pictures\HYGIA.png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1772901" y="39716"/>
            <a:ext cx="687194" cy="9001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 fLocksText="0">
        <xdr:nvSpPr>
          <xdr:cNvPr id="9" name="Text Box 2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97170" y="163879"/>
            <a:ext cx="7534465" cy="527693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  <xdr:txBody>
          <a:bodyPr vertOverflow="clip" wrap="square" lIns="36000" tIns="36000" rIns="36000" bIns="36000" anchor="ctr" upright="1"/>
          <a:lstStyle/>
          <a:p>
            <a:pPr algn="ctr" rtl="0">
              <a:defRPr sz="1000"/>
            </a:pPr>
            <a:r>
              <a:rPr lang="pt-BR" sz="1100" b="0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pt-BR" sz="1100" b="1" i="0" strike="noStrike">
                <a:solidFill>
                  <a:srgbClr val="000000"/>
                </a:solidFill>
                <a:latin typeface="Arial"/>
                <a:cs typeface="Arial"/>
              </a:rPr>
              <a:t>HOSPITAL MUNICIPAL DE BARUERI - DR. FRANCISCO MORAN</a:t>
            </a:r>
          </a:p>
          <a:p>
            <a:pPr algn="ctr" rtl="0">
              <a:defRPr sz="1000"/>
            </a:pPr>
            <a:r>
              <a:rPr lang="pt-BR" sz="1100" b="1" i="0" strike="noStrike">
                <a:solidFill>
                  <a:srgbClr val="000000"/>
                </a:solidFill>
                <a:latin typeface="Arial"/>
                <a:cs typeface="Arial"/>
              </a:rPr>
              <a:t>Instituto Hygia Sáude e Desenvolvimento Social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95250</xdr:rowOff>
    </xdr:from>
    <xdr:to>
      <xdr:col>12</xdr:col>
      <xdr:colOff>495300</xdr:colOff>
      <xdr:row>5</xdr:row>
      <xdr:rowOff>66675</xdr:rowOff>
    </xdr:to>
    <xdr:grpSp>
      <xdr:nvGrpSpPr>
        <xdr:cNvPr id="2" name="Grupo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57150" y="257175"/>
          <a:ext cx="10496550" cy="619125"/>
          <a:chOff x="234999" y="190500"/>
          <a:chExt cx="7099251" cy="618257"/>
        </a:xfrm>
      </xdr:grpSpPr>
      <xdr:sp macro="" textlink="" fLocksText="0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6900" y="323663"/>
            <a:ext cx="5263238" cy="437536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  <xdr:txBody>
          <a:bodyPr vertOverflow="clip" wrap="square" lIns="36000" tIns="36000" rIns="36000" bIns="36000" anchor="ctr" upright="1"/>
          <a:lstStyle/>
          <a:p>
            <a:pPr algn="ctr" rtl="0">
              <a:defRPr sz="1000"/>
            </a:pPr>
            <a:r>
              <a:rPr lang="pt-BR" sz="900" b="0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pt-BR" sz="900" b="1" i="0" strike="noStrike">
                <a:solidFill>
                  <a:srgbClr val="000000"/>
                </a:solidFill>
                <a:latin typeface="Arial"/>
                <a:cs typeface="Arial"/>
              </a:rPr>
              <a:t>HOSPITAL MUNICIPAL DE BARUERI - DR. FRANCISCO MORAN</a:t>
            </a:r>
          </a:p>
          <a:p>
            <a:pPr algn="ctr" rtl="0">
              <a:defRPr sz="1000"/>
            </a:pPr>
            <a:r>
              <a:rPr lang="pt-BR" sz="900" b="1" i="0" strike="noStrike">
                <a:solidFill>
                  <a:srgbClr val="000000"/>
                </a:solidFill>
                <a:latin typeface="Arial"/>
                <a:cs typeface="Arial"/>
              </a:rPr>
              <a:t>Instituto Hygia Sáude e Desenvolvimento Social</a:t>
            </a:r>
          </a:p>
        </xdr:txBody>
      </xdr:sp>
      <xdr:pic>
        <xdr:nvPicPr>
          <xdr:cNvPr id="4" name="Picture 1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34999" y="249726"/>
            <a:ext cx="467495" cy="54370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" name="Imagem 9" descr="C:\Users\6260598\Pictures\HYGIA.png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6886790" y="190500"/>
            <a:ext cx="447460" cy="61825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9525</xdr:rowOff>
    </xdr:from>
    <xdr:to>
      <xdr:col>10</xdr:col>
      <xdr:colOff>1685925</xdr:colOff>
      <xdr:row>5</xdr:row>
      <xdr:rowOff>171450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>
          <a:grpSpLocks/>
        </xdr:cNvGrpSpPr>
      </xdr:nvGrpSpPr>
      <xdr:grpSpPr bwMode="auto">
        <a:xfrm>
          <a:off x="295275" y="251004"/>
          <a:ext cx="15275685" cy="1127840"/>
          <a:chOff x="1748164" y="145667"/>
          <a:chExt cx="16898272" cy="914329"/>
        </a:xfrm>
      </xdr:grpSpPr>
      <xdr:pic>
        <xdr:nvPicPr>
          <xdr:cNvPr id="3" name="Figuras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748164" y="225831"/>
            <a:ext cx="1127772" cy="796716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</xdr:pic>
      <xdr:pic>
        <xdr:nvPicPr>
          <xdr:cNvPr id="4" name="Imagem 8" descr="C:\Users\6260598\Pictures\HYGIA.png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7668876" y="145667"/>
            <a:ext cx="977560" cy="9143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 fLocksText="0">
        <xdr:nvSpPr>
          <xdr:cNvPr id="5" name="Text Box 2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26098" y="387473"/>
            <a:ext cx="7784597" cy="544064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  <xdr:txBody>
          <a:bodyPr vertOverflow="clip" wrap="square" lIns="36000" tIns="36000" rIns="36000" bIns="36000" anchor="ctr" upright="1"/>
          <a:lstStyle/>
          <a:p>
            <a:pPr algn="ctr" rtl="0">
              <a:defRPr sz="1000"/>
            </a:pPr>
            <a:r>
              <a:rPr lang="pt-BR" sz="1200" b="0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pt-BR" sz="1200" b="1" i="0" strike="noStrike">
                <a:solidFill>
                  <a:srgbClr val="000000"/>
                </a:solidFill>
                <a:latin typeface="Arial"/>
                <a:cs typeface="Arial"/>
              </a:rPr>
              <a:t>HOSPITAL MUNICIPAL DE BARUERI - DR. FRANCISCO MORAN</a:t>
            </a:r>
          </a:p>
          <a:p>
            <a:pPr algn="ctr" rtl="0">
              <a:defRPr sz="1000"/>
            </a:pPr>
            <a:r>
              <a:rPr lang="pt-BR" sz="1200" b="1" i="0" strike="noStrike">
                <a:solidFill>
                  <a:srgbClr val="000000"/>
                </a:solidFill>
                <a:latin typeface="Arial"/>
                <a:cs typeface="Arial"/>
              </a:rPr>
              <a:t>Instituto Hygia Sáude e Desenvolvimento Social</a:t>
            </a:r>
          </a:p>
        </xdr:txBody>
      </xdr:sp>
    </xdr:grpSp>
    <xdr:clientData/>
  </xdr:twoCellAnchor>
  <xdr:twoCellAnchor>
    <xdr:from>
      <xdr:col>0</xdr:col>
      <xdr:colOff>295275</xdr:colOff>
      <xdr:row>1</xdr:row>
      <xdr:rowOff>9525</xdr:rowOff>
    </xdr:from>
    <xdr:to>
      <xdr:col>10</xdr:col>
      <xdr:colOff>1685925</xdr:colOff>
      <xdr:row>5</xdr:row>
      <xdr:rowOff>171450</xdr:rowOff>
    </xdr:to>
    <xdr:grpSp>
      <xdr:nvGrpSpPr>
        <xdr:cNvPr id="6" name="Grupo 4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>
          <a:grpSpLocks/>
        </xdr:cNvGrpSpPr>
      </xdr:nvGrpSpPr>
      <xdr:grpSpPr bwMode="auto">
        <a:xfrm>
          <a:off x="295275" y="251004"/>
          <a:ext cx="15275685" cy="1127840"/>
          <a:chOff x="1748164" y="145667"/>
          <a:chExt cx="16898272" cy="914329"/>
        </a:xfrm>
      </xdr:grpSpPr>
      <xdr:pic>
        <xdr:nvPicPr>
          <xdr:cNvPr id="7" name="Figuras 2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1748164" y="225831"/>
            <a:ext cx="1127772" cy="796716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</xdr:pic>
      <xdr:pic>
        <xdr:nvPicPr>
          <xdr:cNvPr id="8" name="Imagem 8" descr="C:\Users\6260598\Pictures\HYGIA.png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7668876" y="145667"/>
            <a:ext cx="977560" cy="9143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 fLocksText="0">
        <xdr:nvSpPr>
          <xdr:cNvPr id="9" name="Text Box 2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31275" y="387473"/>
            <a:ext cx="7784013" cy="544064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  <xdr:txBody>
          <a:bodyPr vertOverflow="clip" wrap="square" lIns="36000" tIns="36000" rIns="36000" bIns="36000" anchor="ctr" upright="1"/>
          <a:lstStyle/>
          <a:p>
            <a:pPr algn="ctr" rtl="0">
              <a:defRPr sz="1000"/>
            </a:pPr>
            <a:r>
              <a:rPr lang="pt-BR" sz="1200" b="0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pt-BR" sz="1200" b="1" i="0" strike="noStrike">
                <a:solidFill>
                  <a:srgbClr val="000000"/>
                </a:solidFill>
                <a:latin typeface="Arial"/>
                <a:cs typeface="Arial"/>
              </a:rPr>
              <a:t>HOSPITAL MUNICIPAL DE BARUERI - DR. FRANCISCO MORAN</a:t>
            </a:r>
          </a:p>
          <a:p>
            <a:pPr algn="ctr" rtl="0">
              <a:defRPr sz="1000"/>
            </a:pPr>
            <a:r>
              <a:rPr lang="pt-BR" sz="1200" b="1" i="0" strike="noStrike">
                <a:solidFill>
                  <a:srgbClr val="000000"/>
                </a:solidFill>
                <a:latin typeface="Arial"/>
                <a:cs typeface="Arial"/>
              </a:rPr>
              <a:t>Instituto Hygia Sáude e Desenvolvimento Social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9525</xdr:rowOff>
    </xdr:from>
    <xdr:to>
      <xdr:col>10</xdr:col>
      <xdr:colOff>1685925</xdr:colOff>
      <xdr:row>5</xdr:row>
      <xdr:rowOff>171450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>
          <a:grpSpLocks/>
        </xdr:cNvGrpSpPr>
      </xdr:nvGrpSpPr>
      <xdr:grpSpPr bwMode="auto">
        <a:xfrm>
          <a:off x="295275" y="251004"/>
          <a:ext cx="15275685" cy="1127840"/>
          <a:chOff x="1748164" y="145667"/>
          <a:chExt cx="16898272" cy="914329"/>
        </a:xfrm>
      </xdr:grpSpPr>
      <xdr:pic>
        <xdr:nvPicPr>
          <xdr:cNvPr id="3" name="Figuras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748164" y="225831"/>
            <a:ext cx="1127772" cy="796716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</xdr:pic>
      <xdr:pic>
        <xdr:nvPicPr>
          <xdr:cNvPr id="4" name="Imagem 8" descr="C:\Users\6260598\Pictures\HYGIA.png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7668876" y="145667"/>
            <a:ext cx="977560" cy="9143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 fLocksText="0">
        <xdr:nvSpPr>
          <xdr:cNvPr id="5" name="Text Box 2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26098" y="387473"/>
            <a:ext cx="7784597" cy="544064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  <xdr:txBody>
          <a:bodyPr vertOverflow="clip" wrap="square" lIns="36000" tIns="36000" rIns="36000" bIns="36000" anchor="ctr" upright="1"/>
          <a:lstStyle/>
          <a:p>
            <a:pPr algn="ctr" rtl="0">
              <a:defRPr sz="1000"/>
            </a:pPr>
            <a:r>
              <a:rPr lang="pt-BR" sz="1200" b="0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pt-BR" sz="1200" b="1" i="0" strike="noStrike">
                <a:solidFill>
                  <a:srgbClr val="000000"/>
                </a:solidFill>
                <a:latin typeface="Arial"/>
                <a:cs typeface="Arial"/>
              </a:rPr>
              <a:t>HOSPITAL MUNICIPAL DE BARUERI - DR. FRANCISCO MORAN</a:t>
            </a:r>
          </a:p>
          <a:p>
            <a:pPr algn="ctr" rtl="0">
              <a:defRPr sz="1000"/>
            </a:pPr>
            <a:r>
              <a:rPr lang="pt-BR" sz="1200" b="1" i="0" strike="noStrike">
                <a:solidFill>
                  <a:srgbClr val="000000"/>
                </a:solidFill>
                <a:latin typeface="Arial"/>
                <a:cs typeface="Arial"/>
              </a:rPr>
              <a:t>Instituto Hygia Sáude e Desenvolvimento Social</a:t>
            </a:r>
          </a:p>
        </xdr:txBody>
      </xdr:sp>
    </xdr:grpSp>
    <xdr:clientData/>
  </xdr:twoCellAnchor>
  <xdr:twoCellAnchor>
    <xdr:from>
      <xdr:col>0</xdr:col>
      <xdr:colOff>295275</xdr:colOff>
      <xdr:row>1</xdr:row>
      <xdr:rowOff>9525</xdr:rowOff>
    </xdr:from>
    <xdr:to>
      <xdr:col>10</xdr:col>
      <xdr:colOff>1685925</xdr:colOff>
      <xdr:row>5</xdr:row>
      <xdr:rowOff>171450</xdr:rowOff>
    </xdr:to>
    <xdr:grpSp>
      <xdr:nvGrpSpPr>
        <xdr:cNvPr id="6" name="Grupo 4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pSpPr>
          <a:grpSpLocks/>
        </xdr:cNvGrpSpPr>
      </xdr:nvGrpSpPr>
      <xdr:grpSpPr bwMode="auto">
        <a:xfrm>
          <a:off x="295275" y="251004"/>
          <a:ext cx="15275685" cy="1127840"/>
          <a:chOff x="1748164" y="145667"/>
          <a:chExt cx="16898272" cy="914329"/>
        </a:xfrm>
      </xdr:grpSpPr>
      <xdr:pic>
        <xdr:nvPicPr>
          <xdr:cNvPr id="7" name="Figuras 2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1748164" y="225831"/>
            <a:ext cx="1127772" cy="796716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</xdr:pic>
      <xdr:pic>
        <xdr:nvPicPr>
          <xdr:cNvPr id="8" name="Imagem 8" descr="C:\Users\6260598\Pictures\HYGIA.png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7668876" y="145667"/>
            <a:ext cx="977560" cy="9143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 fLocksText="0">
        <xdr:nvSpPr>
          <xdr:cNvPr id="9" name="Text Box 2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31275" y="387473"/>
            <a:ext cx="7784013" cy="544064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  <xdr:txBody>
          <a:bodyPr vertOverflow="clip" wrap="square" lIns="36000" tIns="36000" rIns="36000" bIns="36000" anchor="ctr" upright="1"/>
          <a:lstStyle/>
          <a:p>
            <a:pPr algn="ctr" rtl="0">
              <a:defRPr sz="1000"/>
            </a:pPr>
            <a:r>
              <a:rPr lang="pt-BR" sz="1200" b="0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pt-BR" sz="1200" b="1" i="0" strike="noStrike">
                <a:solidFill>
                  <a:srgbClr val="000000"/>
                </a:solidFill>
                <a:latin typeface="Arial"/>
                <a:cs typeface="Arial"/>
              </a:rPr>
              <a:t>HOSPITAL MUNICIPAL DE BARUERI - DR. FRANCISCO MORAN</a:t>
            </a:r>
          </a:p>
          <a:p>
            <a:pPr algn="ctr" rtl="0">
              <a:defRPr sz="1000"/>
            </a:pPr>
            <a:r>
              <a:rPr lang="pt-BR" sz="1200" b="1" i="0" strike="noStrike">
                <a:solidFill>
                  <a:srgbClr val="000000"/>
                </a:solidFill>
                <a:latin typeface="Arial"/>
                <a:cs typeface="Arial"/>
              </a:rPr>
              <a:t>Instituto Hygia Sáude e Desenvolvimento Social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9525</xdr:rowOff>
    </xdr:from>
    <xdr:to>
      <xdr:col>10</xdr:col>
      <xdr:colOff>1685925</xdr:colOff>
      <xdr:row>5</xdr:row>
      <xdr:rowOff>171450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>
          <a:grpSpLocks/>
        </xdr:cNvGrpSpPr>
      </xdr:nvGrpSpPr>
      <xdr:grpSpPr bwMode="auto">
        <a:xfrm>
          <a:off x="295275" y="251004"/>
          <a:ext cx="15275685" cy="1127840"/>
          <a:chOff x="1748164" y="145667"/>
          <a:chExt cx="16898272" cy="914329"/>
        </a:xfrm>
      </xdr:grpSpPr>
      <xdr:pic>
        <xdr:nvPicPr>
          <xdr:cNvPr id="3" name="Figuras 2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748164" y="225831"/>
            <a:ext cx="1127772" cy="796716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</xdr:pic>
      <xdr:pic>
        <xdr:nvPicPr>
          <xdr:cNvPr id="4" name="Imagem 8" descr="C:\Users\6260598\Pictures\HYGIA.png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7668876" y="145667"/>
            <a:ext cx="977560" cy="9143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 fLocksText="0">
        <xdr:nvSpPr>
          <xdr:cNvPr id="5" name="Text Box 2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26098" y="387473"/>
            <a:ext cx="7784597" cy="544064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  <xdr:txBody>
          <a:bodyPr vertOverflow="clip" wrap="square" lIns="36000" tIns="36000" rIns="36000" bIns="36000" anchor="ctr" upright="1"/>
          <a:lstStyle/>
          <a:p>
            <a:pPr algn="ctr" rtl="0">
              <a:defRPr sz="1000"/>
            </a:pPr>
            <a:r>
              <a:rPr lang="pt-BR" sz="1200" b="0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pt-BR" sz="1200" b="1" i="0" strike="noStrike">
                <a:solidFill>
                  <a:srgbClr val="000000"/>
                </a:solidFill>
                <a:latin typeface="Arial"/>
                <a:cs typeface="Arial"/>
              </a:rPr>
              <a:t>HOSPITAL MUNICIPAL DE BARUERI - DR. FRANCISCO MORAN</a:t>
            </a:r>
          </a:p>
          <a:p>
            <a:pPr algn="ctr" rtl="0">
              <a:defRPr sz="1000"/>
            </a:pPr>
            <a:r>
              <a:rPr lang="pt-BR" sz="1200" b="1" i="0" strike="noStrike">
                <a:solidFill>
                  <a:srgbClr val="000000"/>
                </a:solidFill>
                <a:latin typeface="Arial"/>
                <a:cs typeface="Arial"/>
              </a:rPr>
              <a:t>Instituto Hygia Sáude e Desenvolvimento Social</a:t>
            </a:r>
          </a:p>
        </xdr:txBody>
      </xdr:sp>
    </xdr:grpSp>
    <xdr:clientData/>
  </xdr:twoCellAnchor>
  <xdr:twoCellAnchor>
    <xdr:from>
      <xdr:col>0</xdr:col>
      <xdr:colOff>295275</xdr:colOff>
      <xdr:row>1</xdr:row>
      <xdr:rowOff>9525</xdr:rowOff>
    </xdr:from>
    <xdr:to>
      <xdr:col>10</xdr:col>
      <xdr:colOff>1685925</xdr:colOff>
      <xdr:row>5</xdr:row>
      <xdr:rowOff>171450</xdr:rowOff>
    </xdr:to>
    <xdr:grpSp>
      <xdr:nvGrpSpPr>
        <xdr:cNvPr id="6" name="Grupo 4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pSpPr>
          <a:grpSpLocks/>
        </xdr:cNvGrpSpPr>
      </xdr:nvGrpSpPr>
      <xdr:grpSpPr bwMode="auto">
        <a:xfrm>
          <a:off x="295275" y="251004"/>
          <a:ext cx="15275685" cy="1127840"/>
          <a:chOff x="1748164" y="145667"/>
          <a:chExt cx="16898272" cy="914329"/>
        </a:xfrm>
      </xdr:grpSpPr>
      <xdr:pic>
        <xdr:nvPicPr>
          <xdr:cNvPr id="7" name="Figuras 2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1748164" y="225831"/>
            <a:ext cx="1127772" cy="796716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</xdr:pic>
      <xdr:pic>
        <xdr:nvPicPr>
          <xdr:cNvPr id="8" name="Imagem 8" descr="C:\Users\6260598\Pictures\HYGIA.png">
            <a:extLst>
              <a:ext uri="{FF2B5EF4-FFF2-40B4-BE49-F238E27FC236}">
                <a16:creationId xmlns:a16="http://schemas.microsoft.com/office/drawing/2014/main" id="{00000000-0008-0000-06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7668876" y="145667"/>
            <a:ext cx="977560" cy="9143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 fLocksText="0">
        <xdr:nvSpPr>
          <xdr:cNvPr id="9" name="Text Box 2">
            <a:extLst>
              <a:ext uri="{FF2B5EF4-FFF2-40B4-BE49-F238E27FC236}">
                <a16:creationId xmlns:a16="http://schemas.microsoft.com/office/drawing/2014/main" id="{00000000-0008-0000-06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31275" y="387473"/>
            <a:ext cx="7784013" cy="544064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  <xdr:txBody>
          <a:bodyPr vertOverflow="clip" wrap="square" lIns="36000" tIns="36000" rIns="36000" bIns="36000" anchor="ctr" upright="1"/>
          <a:lstStyle/>
          <a:p>
            <a:pPr algn="ctr" rtl="0">
              <a:defRPr sz="1000"/>
            </a:pPr>
            <a:r>
              <a:rPr lang="pt-BR" sz="1200" b="0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pt-BR" sz="1200" b="1" i="0" strike="noStrike">
                <a:solidFill>
                  <a:srgbClr val="000000"/>
                </a:solidFill>
                <a:latin typeface="Arial"/>
                <a:cs typeface="Arial"/>
              </a:rPr>
              <a:t>HOSPITAL MUNICIPAL DE BARUERI - DR. FRANCISCO MORAN</a:t>
            </a:r>
          </a:p>
          <a:p>
            <a:pPr algn="ctr" rtl="0">
              <a:defRPr sz="1000"/>
            </a:pPr>
            <a:r>
              <a:rPr lang="pt-BR" sz="1200" b="1" i="0" strike="noStrike">
                <a:solidFill>
                  <a:srgbClr val="000000"/>
                </a:solidFill>
                <a:latin typeface="Arial"/>
                <a:cs typeface="Arial"/>
              </a:rPr>
              <a:t>Instituto Hygia Sáude e Desenvolvimento Social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0</xdr:col>
      <xdr:colOff>2076450</xdr:colOff>
      <xdr:row>5</xdr:row>
      <xdr:rowOff>0</xdr:rowOff>
    </xdr:to>
    <xdr:pic>
      <xdr:nvPicPr>
        <xdr:cNvPr id="2" name="Imagem 8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47625"/>
          <a:ext cx="18764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524997</xdr:colOff>
      <xdr:row>0</xdr:row>
      <xdr:rowOff>114300</xdr:rowOff>
    </xdr:from>
    <xdr:to>
      <xdr:col>9</xdr:col>
      <xdr:colOff>782732</xdr:colOff>
      <xdr:row>4</xdr:row>
      <xdr:rowOff>104775</xdr:rowOff>
    </xdr:to>
    <xdr:pic>
      <xdr:nvPicPr>
        <xdr:cNvPr id="3" name="Figura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47438" y="114300"/>
          <a:ext cx="1053353" cy="618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377077</xdr:colOff>
      <xdr:row>0</xdr:row>
      <xdr:rowOff>87966</xdr:rowOff>
    </xdr:from>
    <xdr:to>
      <xdr:col>23</xdr:col>
      <xdr:colOff>276785</xdr:colOff>
      <xdr:row>4</xdr:row>
      <xdr:rowOff>35859</xdr:rowOff>
    </xdr:to>
    <xdr:pic>
      <xdr:nvPicPr>
        <xdr:cNvPr id="4" name="Imagem 6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662401" y="87966"/>
          <a:ext cx="695325" cy="57542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158.3\diretoria%20administrativa\DIRETORIA%20ADMINISTRATIVA\COORDENADORES\2017\ELIANE%20TOZZI\CONTRATO%20DE%20GEST&#195;O\Presta&#231;&#227;o%20de%20Contas\Reuni&#227;o%20Dr%20Diogo\3&#186;%20TRI%202017%20SPDM\RELATORIOS%20DE%20ATIVIDADES\12.PRODU&#199;&#195;O%20DEZEMBRO%2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GERAL"/>
      <sheetName val="INTERNAÇAO"/>
      <sheetName val="PACIENTE DIA"/>
      <sheetName val="CLINICA MEDICA"/>
      <sheetName val="CLINICA CIRURGICA"/>
      <sheetName val="CLINICA PSIQUIÁTRICA"/>
      <sheetName val="CLINICA OBSTÉTRICA "/>
      <sheetName val="PEDIATRIA"/>
      <sheetName val="UTI Adulto"/>
      <sheetName val="UTI  NEONATAL"/>
      <sheetName val="UTI PD"/>
      <sheetName val="GERAL- CM- CC-PD- PSQ"/>
      <sheetName val="GERAL- OB- UTIs"/>
      <sheetName val="SPA"/>
      <sheetName val="Produção cirurgica Geral "/>
      <sheetName val="CC"/>
      <sheetName val="UCA"/>
      <sheetName val="C O"/>
      <sheetName val="CONSULTAS MÉDICAS"/>
      <sheetName val="CONSULTAS NÃO MÉDICAS"/>
      <sheetName val="SADT - EXTERNO"/>
      <sheetName val="SADT - INTERNO"/>
      <sheetName val="SADT - TOTAL"/>
      <sheetName val="UAN-LAVAN"/>
      <sheetName val="Qimio - Hemodialise"/>
      <sheetName val="Lab_Banco_Agencia"/>
      <sheetName val="PID"/>
      <sheetName val="SAU"/>
      <sheetName val="Contratado X Realizado  3ºTRIME"/>
      <sheetName val="Contrato X Realizado 4ºTRIME "/>
      <sheetName val="Contrato X Realizado2º Semestre"/>
      <sheetName val="SAU TRI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1">
          <cell r="E51">
            <v>13176</v>
          </cell>
        </row>
      </sheetData>
      <sheetData sheetId="20">
        <row r="21">
          <cell r="B21">
            <v>4309</v>
          </cell>
          <cell r="C21">
            <v>5219</v>
          </cell>
          <cell r="D21">
            <v>7542</v>
          </cell>
          <cell r="E21">
            <v>8688</v>
          </cell>
          <cell r="F21">
            <v>7734</v>
          </cell>
        </row>
      </sheetData>
      <sheetData sheetId="21">
        <row r="41">
          <cell r="E41">
            <v>9028</v>
          </cell>
          <cell r="G41">
            <v>5198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4"/>
  <sheetViews>
    <sheetView showGridLines="0" view="pageBreakPreview" topLeftCell="A7" zoomScale="55" zoomScaleSheetLayoutView="55" workbookViewId="0">
      <selection activeCell="H66" sqref="H66"/>
    </sheetView>
  </sheetViews>
  <sheetFormatPr defaultColWidth="28.140625" defaultRowHeight="15"/>
  <cols>
    <col min="1" max="1" width="53.42578125" style="1" customWidth="1"/>
    <col min="2" max="2" width="18.42578125" style="1" customWidth="1"/>
    <col min="3" max="3" width="20.85546875" style="1" customWidth="1"/>
    <col min="4" max="4" width="21.5703125" style="1" customWidth="1"/>
    <col min="5" max="5" width="23.5703125" style="1" customWidth="1"/>
    <col min="6" max="6" width="24.42578125" style="1" customWidth="1"/>
    <col min="7" max="7" width="28.42578125" style="1" customWidth="1"/>
    <col min="8" max="8" width="24.7109375" style="1" customWidth="1"/>
    <col min="9" max="9" width="41" style="1" customWidth="1"/>
    <col min="10" max="16384" width="28.140625" style="1"/>
  </cols>
  <sheetData>
    <row r="1" spans="1:15">
      <c r="J1" s="2"/>
      <c r="K1" s="2"/>
      <c r="L1" s="2"/>
      <c r="M1" s="2"/>
      <c r="N1" s="2"/>
      <c r="O1" s="2"/>
    </row>
    <row r="2" spans="1:15">
      <c r="J2" s="2"/>
      <c r="K2" s="2"/>
      <c r="L2" s="2"/>
      <c r="M2" s="2"/>
      <c r="N2" s="2"/>
      <c r="O2" s="2"/>
    </row>
    <row r="3" spans="1:15">
      <c r="J3" s="2"/>
      <c r="K3" s="2"/>
      <c r="L3" s="2"/>
      <c r="M3" s="2"/>
      <c r="N3" s="2"/>
      <c r="O3" s="2"/>
    </row>
    <row r="4" spans="1:15">
      <c r="J4" s="2"/>
      <c r="K4" s="2"/>
      <c r="L4" s="2"/>
      <c r="M4" s="2"/>
      <c r="N4" s="2"/>
    </row>
    <row r="5" spans="1:15" s="4" customFormat="1" ht="15.75" customHeight="1">
      <c r="A5" s="1"/>
      <c r="B5" s="1"/>
      <c r="C5" s="1"/>
      <c r="D5" s="1"/>
      <c r="E5" s="1"/>
      <c r="F5" s="1"/>
      <c r="G5" s="1"/>
      <c r="H5" s="1"/>
      <c r="I5" s="1"/>
      <c r="J5" s="3"/>
      <c r="K5" s="3"/>
      <c r="L5" s="3"/>
      <c r="M5" s="3"/>
      <c r="N5" s="3"/>
    </row>
    <row r="6" spans="1:15" s="4" customFormat="1" ht="15.75" customHeight="1">
      <c r="A6" s="1"/>
      <c r="B6" s="1"/>
      <c r="C6" s="1"/>
      <c r="D6" s="1"/>
      <c r="E6" s="1"/>
      <c r="F6" s="1"/>
      <c r="G6" s="1"/>
      <c r="H6" s="1"/>
      <c r="I6" s="1"/>
      <c r="J6" s="3"/>
      <c r="K6" s="3"/>
      <c r="L6" s="3"/>
      <c r="M6" s="3"/>
      <c r="N6" s="3"/>
    </row>
    <row r="7" spans="1:15" s="4" customFormat="1" ht="18" customHeight="1">
      <c r="A7" s="460" t="s">
        <v>0</v>
      </c>
      <c r="B7" s="460"/>
      <c r="C7" s="460"/>
      <c r="D7" s="460"/>
      <c r="E7" s="460"/>
      <c r="F7" s="460"/>
      <c r="G7" s="460"/>
      <c r="H7" s="460"/>
      <c r="I7" s="460"/>
    </row>
    <row r="8" spans="1:15" ht="18">
      <c r="A8" s="5" t="s">
        <v>1</v>
      </c>
      <c r="B8" s="6" t="s">
        <v>175</v>
      </c>
      <c r="C8" s="7"/>
      <c r="D8" s="8"/>
      <c r="E8" s="9"/>
      <c r="F8" s="7"/>
      <c r="G8" s="7"/>
      <c r="H8" s="7"/>
      <c r="I8" s="10"/>
    </row>
    <row r="9" spans="1:15" ht="15.75">
      <c r="A9" s="11" t="s">
        <v>2</v>
      </c>
      <c r="B9" s="12" t="s">
        <v>3</v>
      </c>
      <c r="D9" s="13"/>
      <c r="E9" s="13"/>
      <c r="J9" s="14"/>
      <c r="K9" s="14"/>
      <c r="L9" s="14"/>
      <c r="M9" s="14"/>
      <c r="N9" s="14"/>
      <c r="O9" s="14"/>
    </row>
    <row r="10" spans="1:15" ht="16.5" thickBot="1">
      <c r="A10" s="11"/>
      <c r="B10" s="15"/>
      <c r="D10" s="13"/>
      <c r="E10" s="13"/>
      <c r="J10" s="14"/>
      <c r="K10" s="14"/>
      <c r="L10" s="14"/>
      <c r="M10" s="14"/>
      <c r="N10" s="14"/>
      <c r="O10" s="14"/>
    </row>
    <row r="11" spans="1:15" ht="27" customHeight="1" thickBot="1">
      <c r="A11" s="430" t="s">
        <v>4</v>
      </c>
      <c r="B11" s="431"/>
      <c r="C11" s="431"/>
      <c r="D11" s="431"/>
      <c r="E11" s="431"/>
      <c r="F11" s="431"/>
      <c r="G11" s="431"/>
      <c r="H11" s="431"/>
      <c r="I11" s="432"/>
    </row>
    <row r="12" spans="1:15" ht="34.5" customHeight="1">
      <c r="A12" s="16" t="s">
        <v>5</v>
      </c>
      <c r="B12" s="17" t="s">
        <v>6</v>
      </c>
      <c r="C12" s="17" t="s">
        <v>7</v>
      </c>
      <c r="D12" s="17" t="s">
        <v>8</v>
      </c>
      <c r="E12" s="17" t="s">
        <v>9</v>
      </c>
      <c r="F12" s="17" t="s">
        <v>10</v>
      </c>
      <c r="G12" s="17" t="s">
        <v>11</v>
      </c>
      <c r="H12" s="17" t="s">
        <v>12</v>
      </c>
      <c r="I12" s="18" t="s">
        <v>13</v>
      </c>
    </row>
    <row r="13" spans="1:15" ht="20.100000000000001" customHeight="1">
      <c r="A13" s="19" t="s">
        <v>14</v>
      </c>
      <c r="B13" s="20">
        <f>7+71+61</f>
        <v>139</v>
      </c>
      <c r="C13" s="21">
        <v>3</v>
      </c>
      <c r="D13" s="22">
        <v>4</v>
      </c>
      <c r="E13" s="21">
        <f>11+9</f>
        <v>20</v>
      </c>
      <c r="F13" s="23">
        <f>SUM(B13:E13)</f>
        <v>166</v>
      </c>
      <c r="G13" s="24" t="s">
        <v>15</v>
      </c>
      <c r="H13" s="25">
        <f>713+745+733</f>
        <v>2191</v>
      </c>
      <c r="I13" s="53">
        <f>616+672+711</f>
        <v>1999</v>
      </c>
    </row>
    <row r="14" spans="1:15" ht="20.100000000000001" customHeight="1">
      <c r="A14" s="19" t="s">
        <v>16</v>
      </c>
      <c r="B14" s="20">
        <f>158+99+117</f>
        <v>374</v>
      </c>
      <c r="C14" s="21">
        <v>2</v>
      </c>
      <c r="D14" s="21">
        <v>0</v>
      </c>
      <c r="E14" s="21">
        <f>1+1+3</f>
        <v>5</v>
      </c>
      <c r="F14" s="23">
        <f t="shared" ref="F14:F25" si="0">SUM(B14:E14)</f>
        <v>381</v>
      </c>
      <c r="G14" s="24" t="s">
        <v>15</v>
      </c>
      <c r="H14" s="25">
        <f>744+743+744</f>
        <v>2231</v>
      </c>
      <c r="I14" s="53">
        <f>300+652+657</f>
        <v>1609</v>
      </c>
    </row>
    <row r="15" spans="1:15" ht="20.100000000000001" customHeight="1">
      <c r="A15" s="19" t="s">
        <v>17</v>
      </c>
      <c r="B15" s="20">
        <v>125</v>
      </c>
      <c r="C15" s="21">
        <v>0</v>
      </c>
      <c r="D15" s="21">
        <v>0</v>
      </c>
      <c r="E15" s="21">
        <v>0</v>
      </c>
      <c r="F15" s="23">
        <f t="shared" si="0"/>
        <v>125</v>
      </c>
      <c r="G15" s="24" t="s">
        <v>15</v>
      </c>
      <c r="H15" s="25">
        <v>713</v>
      </c>
      <c r="I15" s="53">
        <v>544</v>
      </c>
    </row>
    <row r="16" spans="1:15" ht="20.100000000000001" customHeight="1">
      <c r="A16" s="19" t="s">
        <v>18</v>
      </c>
      <c r="B16" s="20">
        <f>69+69</f>
        <v>138</v>
      </c>
      <c r="C16" s="21">
        <v>1</v>
      </c>
      <c r="D16" s="21">
        <v>1</v>
      </c>
      <c r="E16" s="21">
        <v>0</v>
      </c>
      <c r="F16" s="23">
        <f t="shared" si="0"/>
        <v>140</v>
      </c>
      <c r="G16" s="24" t="s">
        <v>15</v>
      </c>
      <c r="H16" s="25">
        <f>744+693</f>
        <v>1437</v>
      </c>
      <c r="I16" s="53">
        <f>439+359</f>
        <v>798</v>
      </c>
    </row>
    <row r="17" spans="1:10" ht="20.100000000000001" customHeight="1">
      <c r="A17" s="19" t="s">
        <v>19</v>
      </c>
      <c r="B17" s="20">
        <v>3</v>
      </c>
      <c r="C17" s="21">
        <v>0</v>
      </c>
      <c r="D17" s="21">
        <v>0</v>
      </c>
      <c r="E17" s="21">
        <v>0</v>
      </c>
      <c r="F17" s="23">
        <f t="shared" si="0"/>
        <v>3</v>
      </c>
      <c r="G17" s="24" t="s">
        <v>15</v>
      </c>
      <c r="H17" s="25">
        <v>341</v>
      </c>
      <c r="I17" s="53">
        <v>254</v>
      </c>
    </row>
    <row r="18" spans="1:10" ht="20.100000000000001" customHeight="1">
      <c r="A18" s="19" t="s">
        <v>20</v>
      </c>
      <c r="B18" s="24" t="s">
        <v>15</v>
      </c>
      <c r="C18" s="21">
        <v>0</v>
      </c>
      <c r="D18" s="21">
        <v>2</v>
      </c>
      <c r="E18" s="21">
        <f>7+9</f>
        <v>16</v>
      </c>
      <c r="F18" s="23">
        <f t="shared" si="0"/>
        <v>18</v>
      </c>
      <c r="G18" s="22">
        <f>27+29</f>
        <v>56</v>
      </c>
      <c r="H18" s="21">
        <f>310+310</f>
        <v>620</v>
      </c>
      <c r="I18" s="54">
        <f>296+297</f>
        <v>593</v>
      </c>
    </row>
    <row r="19" spans="1:10" ht="20.100000000000001" customHeight="1">
      <c r="A19" s="19" t="s">
        <v>21</v>
      </c>
      <c r="B19" s="169">
        <v>23</v>
      </c>
      <c r="C19" s="21">
        <v>0</v>
      </c>
      <c r="D19" s="21">
        <v>0</v>
      </c>
      <c r="E19" s="21">
        <v>0</v>
      </c>
      <c r="F19" s="23">
        <f t="shared" si="0"/>
        <v>23</v>
      </c>
      <c r="G19" s="22">
        <v>2</v>
      </c>
      <c r="H19" s="21">
        <v>682</v>
      </c>
      <c r="I19" s="54">
        <v>197</v>
      </c>
    </row>
    <row r="20" spans="1:10" ht="20.100000000000001" customHeight="1">
      <c r="A20" s="19" t="s">
        <v>22</v>
      </c>
      <c r="B20" s="170">
        <v>0</v>
      </c>
      <c r="C20" s="21">
        <v>0</v>
      </c>
      <c r="D20" s="21">
        <v>0</v>
      </c>
      <c r="E20" s="21">
        <v>1</v>
      </c>
      <c r="F20" s="23">
        <f t="shared" si="0"/>
        <v>1</v>
      </c>
      <c r="G20" s="22">
        <v>17</v>
      </c>
      <c r="H20" s="21">
        <v>248</v>
      </c>
      <c r="I20" s="54">
        <v>172</v>
      </c>
    </row>
    <row r="21" spans="1:10" ht="20.100000000000001" hidden="1" customHeight="1">
      <c r="A21" s="19" t="s">
        <v>23</v>
      </c>
      <c r="B21" s="24" t="s">
        <v>15</v>
      </c>
      <c r="C21" s="21"/>
      <c r="D21" s="21"/>
      <c r="E21" s="21"/>
      <c r="F21" s="23">
        <f t="shared" si="0"/>
        <v>0</v>
      </c>
      <c r="G21" s="22"/>
      <c r="H21" s="24"/>
      <c r="I21" s="26"/>
    </row>
    <row r="22" spans="1:10" ht="20.100000000000001" hidden="1" customHeight="1">
      <c r="A22" s="19" t="s">
        <v>24</v>
      </c>
      <c r="B22" s="24" t="s">
        <v>15</v>
      </c>
      <c r="C22" s="21"/>
      <c r="D22" s="21"/>
      <c r="E22" s="21"/>
      <c r="F22" s="23">
        <f t="shared" si="0"/>
        <v>0</v>
      </c>
      <c r="G22" s="22"/>
      <c r="H22" s="24"/>
      <c r="I22" s="26"/>
    </row>
    <row r="23" spans="1:10" ht="20.100000000000001" hidden="1" customHeight="1">
      <c r="A23" s="19" t="s">
        <v>25</v>
      </c>
      <c r="B23" s="24" t="s">
        <v>15</v>
      </c>
      <c r="C23" s="21"/>
      <c r="D23" s="21"/>
      <c r="E23" s="21"/>
      <c r="F23" s="23">
        <f t="shared" si="0"/>
        <v>0</v>
      </c>
      <c r="G23" s="22"/>
      <c r="H23" s="24"/>
      <c r="I23" s="26"/>
    </row>
    <row r="24" spans="1:10" ht="20.100000000000001" hidden="1" customHeight="1">
      <c r="A24" s="19" t="s">
        <v>26</v>
      </c>
      <c r="B24" s="24" t="s">
        <v>15</v>
      </c>
      <c r="C24" s="21"/>
      <c r="D24" s="21"/>
      <c r="E24" s="21"/>
      <c r="F24" s="23">
        <f t="shared" si="0"/>
        <v>0</v>
      </c>
      <c r="G24" s="22"/>
      <c r="H24" s="24"/>
      <c r="I24" s="26"/>
    </row>
    <row r="25" spans="1:10" ht="20.100000000000001" customHeight="1">
      <c r="A25" s="19" t="s">
        <v>176</v>
      </c>
      <c r="B25" s="170">
        <v>0</v>
      </c>
      <c r="C25" s="22">
        <v>0</v>
      </c>
      <c r="D25" s="22">
        <v>0</v>
      </c>
      <c r="E25" s="22">
        <v>1</v>
      </c>
      <c r="F25" s="23">
        <f t="shared" si="0"/>
        <v>1</v>
      </c>
      <c r="G25" s="27">
        <v>6</v>
      </c>
      <c r="H25" s="22">
        <v>341</v>
      </c>
      <c r="I25" s="26">
        <v>245</v>
      </c>
    </row>
    <row r="26" spans="1:10" ht="20.100000000000001" customHeight="1" thickBot="1">
      <c r="A26" s="28" t="s">
        <v>27</v>
      </c>
      <c r="B26" s="29">
        <f>B13+B14+B15+B16+B17+B19+B20+B25</f>
        <v>802</v>
      </c>
      <c r="C26" s="29">
        <f>C13+C14+C15+C16+C18+C19+C20+C25+C17</f>
        <v>6</v>
      </c>
      <c r="D26" s="29">
        <f>D13+D14+D15+D16+D18+D19+D20+D25+D17</f>
        <v>7</v>
      </c>
      <c r="E26" s="29">
        <f>E13+E14+E15+E16+E18+E19+E20+E25+E17</f>
        <v>43</v>
      </c>
      <c r="F26" s="29">
        <f>SUM(F13:F25)</f>
        <v>858</v>
      </c>
      <c r="G26" s="29">
        <f>SUM(G18:G25)</f>
        <v>81</v>
      </c>
      <c r="H26" s="29">
        <f>SUM(H13:H20)+H25</f>
        <v>8804</v>
      </c>
      <c r="I26" s="30">
        <f>I25+I20+I19+I18+I16+I15+I14+I13+I17</f>
        <v>6411</v>
      </c>
      <c r="J26" s="31"/>
    </row>
    <row r="27" spans="1:10" ht="20.100000000000001" customHeight="1" thickBot="1">
      <c r="B27" s="31"/>
      <c r="H27" s="31"/>
    </row>
    <row r="28" spans="1:10" ht="20.100000000000001" customHeight="1" thickBot="1">
      <c r="A28" s="461" t="s">
        <v>28</v>
      </c>
      <c r="B28" s="462"/>
      <c r="C28" s="463"/>
      <c r="D28" s="153"/>
      <c r="F28" s="430" t="s">
        <v>177</v>
      </c>
      <c r="G28" s="431"/>
      <c r="H28" s="431"/>
      <c r="I28" s="431"/>
      <c r="J28" s="449" t="s">
        <v>29</v>
      </c>
    </row>
    <row r="29" spans="1:10" ht="20.100000000000001" customHeight="1" thickBot="1">
      <c r="A29" s="32" t="s">
        <v>5</v>
      </c>
      <c r="B29" s="464" t="s">
        <v>30</v>
      </c>
      <c r="C29" s="465"/>
      <c r="D29" s="171"/>
      <c r="F29" s="172"/>
      <c r="G29" s="173" t="s">
        <v>31</v>
      </c>
      <c r="H29" s="174" t="s">
        <v>32</v>
      </c>
      <c r="I29" s="151" t="s">
        <v>27</v>
      </c>
      <c r="J29" s="450"/>
    </row>
    <row r="30" spans="1:10" ht="20.100000000000001" customHeight="1" thickBot="1">
      <c r="A30" s="19" t="s">
        <v>14</v>
      </c>
      <c r="B30" s="470">
        <v>34</v>
      </c>
      <c r="C30" s="471"/>
      <c r="D30" s="48"/>
      <c r="F30" s="19" t="s">
        <v>33</v>
      </c>
      <c r="G30" s="175">
        <v>284</v>
      </c>
      <c r="H30" s="176">
        <v>185</v>
      </c>
      <c r="I30" s="177">
        <f>G30+H30</f>
        <v>469</v>
      </c>
      <c r="J30" s="178">
        <f>8/31</f>
        <v>0.25806451612903225</v>
      </c>
    </row>
    <row r="31" spans="1:10" ht="20.100000000000001" customHeight="1" thickBot="1">
      <c r="A31" s="19" t="s">
        <v>16</v>
      </c>
      <c r="B31" s="470">
        <v>21</v>
      </c>
      <c r="C31" s="471"/>
      <c r="D31" s="48"/>
      <c r="F31" s="430" t="s">
        <v>178</v>
      </c>
      <c r="G31" s="431"/>
      <c r="H31" s="431"/>
      <c r="I31" s="431"/>
      <c r="J31" s="451" t="s">
        <v>29</v>
      </c>
    </row>
    <row r="32" spans="1:10" ht="20.100000000000001" customHeight="1" thickBot="1">
      <c r="A32" s="19" t="s">
        <v>17</v>
      </c>
      <c r="B32" s="470">
        <v>1</v>
      </c>
      <c r="C32" s="471"/>
      <c r="D32" s="48"/>
      <c r="F32" s="172"/>
      <c r="G32" s="173" t="s">
        <v>31</v>
      </c>
      <c r="H32" s="174" t="s">
        <v>32</v>
      </c>
      <c r="I32" s="179" t="s">
        <v>27</v>
      </c>
      <c r="J32" s="451"/>
    </row>
    <row r="33" spans="1:16" ht="20.100000000000001" customHeight="1" thickBot="1">
      <c r="A33" s="19" t="s">
        <v>18</v>
      </c>
      <c r="B33" s="470">
        <v>0</v>
      </c>
      <c r="C33" s="471"/>
      <c r="D33" s="48"/>
      <c r="F33" s="452" t="s">
        <v>179</v>
      </c>
      <c r="G33" s="454">
        <v>119</v>
      </c>
      <c r="H33" s="456">
        <v>0</v>
      </c>
      <c r="I33" s="458">
        <f>G33+H33</f>
        <v>119</v>
      </c>
      <c r="J33" s="459">
        <f>3/31</f>
        <v>9.6774193548387094E-2</v>
      </c>
    </row>
    <row r="34" spans="1:16" ht="20.100000000000001" customHeight="1" thickBot="1">
      <c r="A34" s="35" t="s">
        <v>19</v>
      </c>
      <c r="B34" s="472">
        <v>0</v>
      </c>
      <c r="C34" s="473"/>
      <c r="D34" s="180"/>
      <c r="F34" s="453"/>
      <c r="G34" s="455"/>
      <c r="H34" s="457"/>
      <c r="I34" s="458"/>
      <c r="J34" s="459"/>
    </row>
    <row r="35" spans="1:16" ht="20.100000000000001" customHeight="1" thickBot="1">
      <c r="A35" s="36" t="s">
        <v>27</v>
      </c>
      <c r="B35" s="466">
        <f>SUM(B30:B34)</f>
        <v>56</v>
      </c>
      <c r="C35" s="467"/>
      <c r="D35" s="171"/>
      <c r="F35" s="55" t="s">
        <v>180</v>
      </c>
      <c r="G35" s="181">
        <v>117</v>
      </c>
      <c r="H35" s="152">
        <v>0</v>
      </c>
      <c r="I35" s="177">
        <f>G35+H35</f>
        <v>117</v>
      </c>
      <c r="J35" s="459"/>
    </row>
    <row r="36" spans="1:16" ht="20.100000000000001" customHeight="1" thickBot="1">
      <c r="A36" s="37"/>
      <c r="B36" s="38"/>
      <c r="C36" s="38"/>
      <c r="D36" s="38"/>
      <c r="F36" s="182" t="s">
        <v>27</v>
      </c>
      <c r="G36" s="183">
        <f>SUM(G33:G35)</f>
        <v>236</v>
      </c>
      <c r="H36" s="184">
        <v>0</v>
      </c>
      <c r="I36" s="183">
        <f>G36+H36</f>
        <v>236</v>
      </c>
      <c r="J36" s="459"/>
    </row>
    <row r="37" spans="1:16" ht="20.100000000000001" customHeight="1" thickBot="1">
      <c r="A37" s="41" t="s">
        <v>37</v>
      </c>
      <c r="B37" s="430" t="s">
        <v>38</v>
      </c>
      <c r="C37" s="432"/>
      <c r="D37" s="153"/>
      <c r="F37" s="33"/>
      <c r="G37" s="33"/>
      <c r="H37" s="33"/>
      <c r="I37" s="33"/>
      <c r="J37" s="34"/>
    </row>
    <row r="38" spans="1:16" ht="37.5" customHeight="1" thickBot="1">
      <c r="A38" s="45" t="s">
        <v>40</v>
      </c>
      <c r="B38" s="474">
        <v>73</v>
      </c>
      <c r="C38" s="475"/>
      <c r="D38" s="185"/>
      <c r="E38" s="185"/>
      <c r="F38" s="430" t="s">
        <v>45</v>
      </c>
      <c r="G38" s="431"/>
      <c r="H38" s="431"/>
      <c r="I38" s="431"/>
      <c r="J38" s="432"/>
      <c r="K38" s="33"/>
    </row>
    <row r="39" spans="1:16" ht="20.100000000000001" customHeight="1" thickBot="1">
      <c r="D39" s="75"/>
      <c r="F39" s="468"/>
      <c r="G39" s="469"/>
      <c r="H39" s="46" t="s">
        <v>181</v>
      </c>
      <c r="I39" s="186" t="s">
        <v>182</v>
      </c>
      <c r="J39" s="187" t="s">
        <v>46</v>
      </c>
      <c r="K39" s="33"/>
      <c r="L39" s="33"/>
      <c r="M39" s="33"/>
      <c r="N39" s="33"/>
      <c r="O39" s="34"/>
    </row>
    <row r="40" spans="1:16" ht="20.100000000000001" customHeight="1" thickBot="1">
      <c r="A40" s="41" t="s">
        <v>168</v>
      </c>
      <c r="B40" s="430" t="s">
        <v>38</v>
      </c>
      <c r="C40" s="432"/>
      <c r="D40" s="75"/>
      <c r="F40" s="443" t="s">
        <v>47</v>
      </c>
      <c r="G40" s="444"/>
      <c r="H40" s="154">
        <v>271</v>
      </c>
      <c r="I40" s="50">
        <v>233</v>
      </c>
      <c r="J40" s="188">
        <v>0</v>
      </c>
      <c r="K40" s="33"/>
      <c r="L40" s="33"/>
      <c r="M40" s="33"/>
      <c r="N40" s="33"/>
      <c r="O40" s="34"/>
    </row>
    <row r="41" spans="1:16" ht="20.100000000000001" customHeight="1" thickBot="1">
      <c r="A41" s="45" t="s">
        <v>183</v>
      </c>
      <c r="B41" s="474">
        <v>197</v>
      </c>
      <c r="C41" s="475"/>
      <c r="F41" s="443" t="s">
        <v>48</v>
      </c>
      <c r="G41" s="444"/>
      <c r="H41" s="154">
        <v>142</v>
      </c>
      <c r="I41" s="50">
        <v>3</v>
      </c>
      <c r="J41" s="188">
        <v>0</v>
      </c>
      <c r="K41" s="33"/>
      <c r="L41" s="33"/>
      <c r="M41" s="33"/>
      <c r="N41" s="33"/>
      <c r="O41" s="34"/>
    </row>
    <row r="42" spans="1:16" ht="20.100000000000001" customHeight="1">
      <c r="F42" s="443" t="s">
        <v>49</v>
      </c>
      <c r="G42" s="444"/>
      <c r="H42" s="154">
        <v>39</v>
      </c>
      <c r="I42" s="50">
        <v>0</v>
      </c>
      <c r="J42" s="188">
        <v>0</v>
      </c>
      <c r="K42" s="33"/>
      <c r="L42" s="33"/>
      <c r="M42" s="33"/>
      <c r="N42" s="33"/>
      <c r="O42" s="34"/>
    </row>
    <row r="43" spans="1:16" ht="32.25" customHeight="1">
      <c r="F43" s="443" t="s">
        <v>50</v>
      </c>
      <c r="G43" s="444"/>
      <c r="H43" s="154">
        <v>15</v>
      </c>
      <c r="I43" s="50">
        <v>0</v>
      </c>
      <c r="J43" s="188">
        <v>2</v>
      </c>
      <c r="K43" s="33"/>
      <c r="L43" s="33"/>
      <c r="M43" s="33"/>
      <c r="N43" s="33"/>
      <c r="O43" s="34"/>
      <c r="P43" s="49"/>
    </row>
    <row r="44" spans="1:16" ht="20.100000000000001" customHeight="1" thickBot="1">
      <c r="F44" s="445" t="s">
        <v>51</v>
      </c>
      <c r="G44" s="446"/>
      <c r="H44" s="189">
        <v>2</v>
      </c>
      <c r="I44" s="190">
        <v>0</v>
      </c>
      <c r="J44" s="188">
        <v>0</v>
      </c>
      <c r="K44" s="33"/>
      <c r="L44" s="33"/>
      <c r="M44" s="33"/>
      <c r="N44" s="33"/>
      <c r="O44" s="34"/>
    </row>
    <row r="45" spans="1:16" ht="20.100000000000001" customHeight="1" thickBot="1">
      <c r="A45" s="52"/>
      <c r="B45" s="33"/>
      <c r="F45" s="447" t="s">
        <v>27</v>
      </c>
      <c r="G45" s="447"/>
      <c r="H45" s="51">
        <f>SUM(H40:H44)</f>
        <v>469</v>
      </c>
      <c r="I45" s="191">
        <f>SUM(I40:I44)</f>
        <v>236</v>
      </c>
      <c r="J45" s="191">
        <f>SUM(J40:J44)</f>
        <v>2</v>
      </c>
      <c r="K45" s="33"/>
      <c r="L45" s="33"/>
      <c r="M45" s="33"/>
      <c r="N45" s="33"/>
      <c r="O45" s="34"/>
    </row>
    <row r="46" spans="1:16" ht="20.100000000000001" customHeight="1" thickBot="1">
      <c r="A46" s="430" t="s">
        <v>34</v>
      </c>
      <c r="B46" s="431"/>
      <c r="C46" s="431"/>
      <c r="D46" s="432"/>
      <c r="E46" s="33"/>
      <c r="F46" s="33"/>
      <c r="G46" s="33"/>
      <c r="H46" s="33"/>
      <c r="I46" s="34"/>
      <c r="J46" s="33"/>
      <c r="K46" s="33"/>
      <c r="L46" s="33"/>
      <c r="M46" s="34"/>
    </row>
    <row r="47" spans="1:16" ht="34.5" customHeight="1" thickBot="1">
      <c r="A47" s="192"/>
      <c r="B47" s="39" t="s">
        <v>35</v>
      </c>
      <c r="C47" s="40" t="s">
        <v>36</v>
      </c>
      <c r="D47" s="193" t="s">
        <v>27</v>
      </c>
      <c r="F47" s="433" t="s">
        <v>184</v>
      </c>
      <c r="G47" s="434"/>
      <c r="H47" s="435"/>
      <c r="I47" s="439">
        <v>2.8E-3</v>
      </c>
      <c r="J47" s="47"/>
    </row>
    <row r="48" spans="1:16" ht="20.100000000000001" customHeight="1" thickBot="1">
      <c r="A48" s="194" t="s">
        <v>39</v>
      </c>
      <c r="B48" s="42">
        <v>123</v>
      </c>
      <c r="C48" s="43">
        <v>1186</v>
      </c>
      <c r="D48" s="44">
        <f>SUM(B48:C48)</f>
        <v>1309</v>
      </c>
      <c r="E48" s="13"/>
      <c r="F48" s="436"/>
      <c r="G48" s="437"/>
      <c r="H48" s="438"/>
      <c r="I48" s="440"/>
      <c r="J48" s="195"/>
    </row>
    <row r="49" spans="1:19" ht="20.100000000000001" customHeight="1" thickBot="1">
      <c r="E49" s="13"/>
      <c r="F49" s="105"/>
      <c r="G49" s="196"/>
      <c r="H49" s="48"/>
      <c r="I49" s="197"/>
      <c r="J49" s="47"/>
      <c r="K49" s="13"/>
      <c r="L49" s="13"/>
      <c r="M49" s="13"/>
      <c r="N49" s="13"/>
      <c r="O49" s="13"/>
      <c r="P49" s="13"/>
      <c r="Q49" s="13"/>
      <c r="R49" s="13"/>
      <c r="S49" s="13"/>
    </row>
    <row r="50" spans="1:19" ht="20.100000000000001" customHeight="1" thickBot="1">
      <c r="A50" s="430" t="s">
        <v>41</v>
      </c>
      <c r="B50" s="431"/>
      <c r="C50" s="431"/>
      <c r="D50" s="432"/>
      <c r="E50" s="13"/>
      <c r="F50" s="433" t="s">
        <v>141</v>
      </c>
      <c r="G50" s="434"/>
      <c r="H50" s="435"/>
      <c r="I50" s="441">
        <v>0.26</v>
      </c>
      <c r="J50" s="198"/>
      <c r="K50" s="198"/>
      <c r="L50" s="198"/>
      <c r="M50" s="198"/>
      <c r="N50" s="198"/>
      <c r="O50" s="198"/>
      <c r="P50" s="198"/>
      <c r="Q50" s="198"/>
      <c r="R50" s="13"/>
      <c r="S50" s="13"/>
    </row>
    <row r="51" spans="1:19" ht="20.100000000000001" customHeight="1" thickBot="1">
      <c r="A51" s="192"/>
      <c r="B51" s="46" t="s">
        <v>42</v>
      </c>
      <c r="C51" s="17" t="s">
        <v>43</v>
      </c>
      <c r="D51" s="193" t="s">
        <v>27</v>
      </c>
      <c r="F51" s="436"/>
      <c r="G51" s="437"/>
      <c r="H51" s="438"/>
      <c r="I51" s="442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ht="20.100000000000001" customHeight="1" thickBot="1">
      <c r="A52" s="194" t="s">
        <v>44</v>
      </c>
      <c r="B52" s="42">
        <v>1568</v>
      </c>
      <c r="C52" s="43">
        <v>241</v>
      </c>
      <c r="D52" s="44">
        <f>SUM(B52:C52)</f>
        <v>1809</v>
      </c>
      <c r="F52" s="77"/>
      <c r="G52" s="171"/>
      <c r="H52" s="171"/>
      <c r="I52" s="171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ht="20.100000000000001" customHeight="1">
      <c r="F53" s="105"/>
      <c r="G53" s="196"/>
      <c r="H53" s="48"/>
      <c r="I53" s="197"/>
    </row>
    <row r="54" spans="1:19" ht="15.75">
      <c r="H54" s="448"/>
      <c r="I54" s="448"/>
    </row>
    <row r="55" spans="1:19">
      <c r="E55" s="47"/>
      <c r="I55" s="48"/>
    </row>
    <row r="56" spans="1:19">
      <c r="E56" s="47"/>
    </row>
    <row r="57" spans="1:19">
      <c r="E57" s="2"/>
    </row>
    <row r="61" spans="1:19">
      <c r="F61" s="47"/>
      <c r="G61" s="47"/>
    </row>
    <row r="62" spans="1:19" ht="15.75">
      <c r="E62" s="153"/>
      <c r="F62" s="153"/>
    </row>
    <row r="63" spans="1:19" ht="15.75">
      <c r="E63" s="48"/>
      <c r="F63" s="33"/>
    </row>
    <row r="64" spans="1:19">
      <c r="E64" s="47"/>
      <c r="F64" s="47"/>
    </row>
  </sheetData>
  <sheetProtection selectLockedCells="1" selectUnlockedCells="1"/>
  <mergeCells count="38">
    <mergeCell ref="B40:C40"/>
    <mergeCell ref="F40:G40"/>
    <mergeCell ref="B41:C41"/>
    <mergeCell ref="B37:C37"/>
    <mergeCell ref="B38:C38"/>
    <mergeCell ref="F41:G41"/>
    <mergeCell ref="B35:C35"/>
    <mergeCell ref="F38:J38"/>
    <mergeCell ref="F39:G39"/>
    <mergeCell ref="B30:C30"/>
    <mergeCell ref="B31:C31"/>
    <mergeCell ref="B32:C32"/>
    <mergeCell ref="B33:C33"/>
    <mergeCell ref="B34:C34"/>
    <mergeCell ref="A7:I7"/>
    <mergeCell ref="A11:I11"/>
    <mergeCell ref="A28:C28"/>
    <mergeCell ref="B29:C29"/>
    <mergeCell ref="F28:I28"/>
    <mergeCell ref="J28:J29"/>
    <mergeCell ref="F31:I31"/>
    <mergeCell ref="J31:J32"/>
    <mergeCell ref="F33:F34"/>
    <mergeCell ref="G33:G34"/>
    <mergeCell ref="H33:H34"/>
    <mergeCell ref="I33:I34"/>
    <mergeCell ref="J33:J36"/>
    <mergeCell ref="F42:G42"/>
    <mergeCell ref="F43:G43"/>
    <mergeCell ref="F44:G44"/>
    <mergeCell ref="F45:G45"/>
    <mergeCell ref="H54:I54"/>
    <mergeCell ref="A46:D46"/>
    <mergeCell ref="F47:H48"/>
    <mergeCell ref="I47:I48"/>
    <mergeCell ref="A50:D50"/>
    <mergeCell ref="F50:H51"/>
    <mergeCell ref="I50:I51"/>
  </mergeCells>
  <printOptions horizontalCentered="1"/>
  <pageMargins left="0.51181102362204722" right="0.51181102362204722" top="0.78740157480314965" bottom="0.19685039370078741" header="0.51181102362204722" footer="0.15748031496062992"/>
  <pageSetup paperSize="9" scale="50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4"/>
  <sheetViews>
    <sheetView showGridLines="0" view="pageBreakPreview" topLeftCell="A7" zoomScale="55" zoomScaleSheetLayoutView="55" workbookViewId="0">
      <selection activeCell="H66" sqref="H66"/>
    </sheetView>
  </sheetViews>
  <sheetFormatPr defaultColWidth="28.140625" defaultRowHeight="15"/>
  <cols>
    <col min="1" max="1" width="53.42578125" style="1" customWidth="1"/>
    <col min="2" max="2" width="18.42578125" style="1" customWidth="1"/>
    <col min="3" max="3" width="20.85546875" style="1" customWidth="1"/>
    <col min="4" max="4" width="21.5703125" style="1" customWidth="1"/>
    <col min="5" max="5" width="23.5703125" style="1" customWidth="1"/>
    <col min="6" max="6" width="24.42578125" style="1" customWidth="1"/>
    <col min="7" max="7" width="28.42578125" style="1" customWidth="1"/>
    <col min="8" max="8" width="24.7109375" style="1" customWidth="1"/>
    <col min="9" max="9" width="41" style="1" customWidth="1"/>
    <col min="10" max="16384" width="28.140625" style="1"/>
  </cols>
  <sheetData>
    <row r="1" spans="1:15">
      <c r="J1" s="2"/>
      <c r="K1" s="2"/>
      <c r="L1" s="2"/>
      <c r="M1" s="2"/>
      <c r="N1" s="2"/>
      <c r="O1" s="2"/>
    </row>
    <row r="2" spans="1:15">
      <c r="J2" s="2"/>
      <c r="K2" s="2"/>
      <c r="L2" s="2"/>
      <c r="M2" s="2"/>
      <c r="N2" s="2"/>
      <c r="O2" s="2"/>
    </row>
    <row r="3" spans="1:15">
      <c r="J3" s="2"/>
      <c r="K3" s="2"/>
      <c r="L3" s="2"/>
      <c r="M3" s="2"/>
      <c r="N3" s="2"/>
      <c r="O3" s="2"/>
    </row>
    <row r="4" spans="1:15">
      <c r="J4" s="2"/>
      <c r="K4" s="2"/>
      <c r="L4" s="2"/>
      <c r="M4" s="2"/>
      <c r="N4" s="2"/>
    </row>
    <row r="5" spans="1:15" s="4" customFormat="1" ht="15.75" customHeight="1">
      <c r="A5" s="1"/>
      <c r="B5" s="1"/>
      <c r="C5" s="1"/>
      <c r="D5" s="1"/>
      <c r="E5" s="1"/>
      <c r="F5" s="1"/>
      <c r="G5" s="1"/>
      <c r="H5" s="1"/>
      <c r="I5" s="1"/>
      <c r="J5" s="3"/>
      <c r="K5" s="3"/>
      <c r="L5" s="3"/>
      <c r="M5" s="3"/>
      <c r="N5" s="3"/>
    </row>
    <row r="6" spans="1:15" s="4" customFormat="1" ht="15.75" customHeight="1">
      <c r="A6" s="1"/>
      <c r="B6" s="1"/>
      <c r="C6" s="1"/>
      <c r="D6" s="1"/>
      <c r="E6" s="1"/>
      <c r="F6" s="1"/>
      <c r="G6" s="1"/>
      <c r="H6" s="1"/>
      <c r="I6" s="1"/>
      <c r="J6" s="3"/>
      <c r="K6" s="3"/>
      <c r="L6" s="3"/>
      <c r="M6" s="3"/>
      <c r="N6" s="3"/>
    </row>
    <row r="7" spans="1:15" s="4" customFormat="1" ht="18" customHeight="1">
      <c r="A7" s="460" t="s">
        <v>0</v>
      </c>
      <c r="B7" s="460"/>
      <c r="C7" s="460"/>
      <c r="D7" s="460"/>
      <c r="E7" s="460"/>
      <c r="F7" s="460"/>
      <c r="G7" s="460"/>
      <c r="H7" s="460"/>
      <c r="I7" s="460"/>
    </row>
    <row r="8" spans="1:15" ht="18">
      <c r="A8" s="5" t="s">
        <v>1</v>
      </c>
      <c r="B8" s="6" t="s">
        <v>185</v>
      </c>
      <c r="C8" s="7"/>
      <c r="D8" s="8"/>
      <c r="E8" s="9"/>
      <c r="F8" s="7"/>
      <c r="G8" s="7"/>
      <c r="H8" s="7"/>
      <c r="I8" s="10"/>
    </row>
    <row r="9" spans="1:15" ht="15.75">
      <c r="A9" s="11" t="s">
        <v>2</v>
      </c>
      <c r="B9" s="12" t="s">
        <v>3</v>
      </c>
      <c r="D9" s="13"/>
      <c r="E9" s="13"/>
      <c r="J9" s="14"/>
      <c r="K9" s="14"/>
      <c r="L9" s="14"/>
      <c r="M9" s="14"/>
      <c r="N9" s="14"/>
      <c r="O9" s="14"/>
    </row>
    <row r="10" spans="1:15" ht="16.5" thickBot="1">
      <c r="A10" s="11"/>
      <c r="B10" s="15"/>
      <c r="D10" s="13"/>
      <c r="E10" s="13"/>
      <c r="J10" s="14"/>
      <c r="K10" s="14"/>
      <c r="L10" s="14"/>
      <c r="M10" s="14"/>
      <c r="N10" s="14"/>
      <c r="O10" s="14"/>
    </row>
    <row r="11" spans="1:15" ht="27" customHeight="1" thickBot="1">
      <c r="A11" s="430" t="s">
        <v>4</v>
      </c>
      <c r="B11" s="431"/>
      <c r="C11" s="431"/>
      <c r="D11" s="431"/>
      <c r="E11" s="431"/>
      <c r="F11" s="431"/>
      <c r="G11" s="431"/>
      <c r="H11" s="431"/>
      <c r="I11" s="432"/>
    </row>
    <row r="12" spans="1:15" ht="34.5" customHeight="1">
      <c r="A12" s="16" t="s">
        <v>5</v>
      </c>
      <c r="B12" s="17" t="s">
        <v>6</v>
      </c>
      <c r="C12" s="17" t="s">
        <v>7</v>
      </c>
      <c r="D12" s="17" t="s">
        <v>8</v>
      </c>
      <c r="E12" s="17" t="s">
        <v>9</v>
      </c>
      <c r="F12" s="17" t="s">
        <v>10</v>
      </c>
      <c r="G12" s="17" t="s">
        <v>11</v>
      </c>
      <c r="H12" s="17" t="s">
        <v>12</v>
      </c>
      <c r="I12" s="18" t="s">
        <v>13</v>
      </c>
    </row>
    <row r="13" spans="1:15" ht="20.100000000000001" customHeight="1">
      <c r="A13" s="19" t="s">
        <v>14</v>
      </c>
      <c r="B13" s="20">
        <v>131</v>
      </c>
      <c r="C13" s="21">
        <v>4</v>
      </c>
      <c r="D13" s="22">
        <v>4</v>
      </c>
      <c r="E13" s="21">
        <v>19</v>
      </c>
      <c r="F13" s="23">
        <f>SUM(B13:E13)</f>
        <v>158</v>
      </c>
      <c r="G13" s="24" t="s">
        <v>15</v>
      </c>
      <c r="H13" s="25">
        <f>667+696+687</f>
        <v>2050</v>
      </c>
      <c r="I13" s="53">
        <f>561+643+555</f>
        <v>1759</v>
      </c>
    </row>
    <row r="14" spans="1:15" ht="20.100000000000001" customHeight="1">
      <c r="A14" s="19" t="s">
        <v>16</v>
      </c>
      <c r="B14" s="20">
        <v>339</v>
      </c>
      <c r="C14" s="21">
        <v>1</v>
      </c>
      <c r="D14" s="21">
        <v>0</v>
      </c>
      <c r="E14" s="21">
        <v>4</v>
      </c>
      <c r="F14" s="23">
        <f t="shared" ref="F14:F25" si="0">SUM(B14:E14)</f>
        <v>344</v>
      </c>
      <c r="G14" s="24" t="s">
        <v>15</v>
      </c>
      <c r="H14" s="25">
        <f>696+696+694</f>
        <v>2086</v>
      </c>
      <c r="I14" s="53">
        <f>341+633+545</f>
        <v>1519</v>
      </c>
    </row>
    <row r="15" spans="1:15" ht="20.100000000000001" customHeight="1">
      <c r="A15" s="19" t="s">
        <v>17</v>
      </c>
      <c r="B15" s="20">
        <v>136</v>
      </c>
      <c r="C15" s="21">
        <v>0</v>
      </c>
      <c r="D15" s="21">
        <v>0</v>
      </c>
      <c r="E15" s="21">
        <v>0</v>
      </c>
      <c r="F15" s="23">
        <f t="shared" si="0"/>
        <v>136</v>
      </c>
      <c r="G15" s="24" t="s">
        <v>15</v>
      </c>
      <c r="H15" s="25">
        <v>657</v>
      </c>
      <c r="I15" s="53">
        <v>477</v>
      </c>
    </row>
    <row r="16" spans="1:15" ht="20.100000000000001" customHeight="1">
      <c r="A16" s="19" t="s">
        <v>18</v>
      </c>
      <c r="B16" s="20">
        <v>128</v>
      </c>
      <c r="C16" s="21">
        <v>2</v>
      </c>
      <c r="D16" s="21">
        <v>0</v>
      </c>
      <c r="E16" s="21">
        <v>0</v>
      </c>
      <c r="F16" s="23">
        <f t="shared" si="0"/>
        <v>130</v>
      </c>
      <c r="G16" s="24" t="s">
        <v>15</v>
      </c>
      <c r="H16" s="25">
        <f>696+644</f>
        <v>1340</v>
      </c>
      <c r="I16" s="53">
        <f>443+394</f>
        <v>837</v>
      </c>
    </row>
    <row r="17" spans="1:10" ht="20.100000000000001" customHeight="1">
      <c r="A17" s="19" t="s">
        <v>19</v>
      </c>
      <c r="B17" s="20">
        <v>8</v>
      </c>
      <c r="C17" s="21">
        <v>0</v>
      </c>
      <c r="D17" s="21">
        <v>0</v>
      </c>
      <c r="E17" s="21">
        <v>0</v>
      </c>
      <c r="F17" s="23">
        <f t="shared" si="0"/>
        <v>8</v>
      </c>
      <c r="G17" s="24" t="s">
        <v>15</v>
      </c>
      <c r="H17" s="25">
        <v>319</v>
      </c>
      <c r="I17" s="53">
        <v>267</v>
      </c>
    </row>
    <row r="18" spans="1:10" ht="20.100000000000001" customHeight="1">
      <c r="A18" s="19" t="s">
        <v>20</v>
      </c>
      <c r="B18" s="24"/>
      <c r="C18" s="21">
        <v>0</v>
      </c>
      <c r="D18" s="21">
        <v>4</v>
      </c>
      <c r="E18" s="21">
        <v>21</v>
      </c>
      <c r="F18" s="23">
        <f t="shared" si="0"/>
        <v>25</v>
      </c>
      <c r="G18" s="22">
        <v>57</v>
      </c>
      <c r="H18" s="21">
        <f>290+290</f>
        <v>580</v>
      </c>
      <c r="I18" s="54">
        <f>267+267</f>
        <v>534</v>
      </c>
    </row>
    <row r="19" spans="1:10" ht="20.100000000000001" customHeight="1">
      <c r="A19" s="19" t="s">
        <v>21</v>
      </c>
      <c r="B19" s="169">
        <v>22</v>
      </c>
      <c r="C19" s="21">
        <v>0</v>
      </c>
      <c r="D19" s="21">
        <v>0</v>
      </c>
      <c r="E19" s="21">
        <v>0</v>
      </c>
      <c r="F19" s="23">
        <f t="shared" si="0"/>
        <v>22</v>
      </c>
      <c r="G19" s="24" t="s">
        <v>15</v>
      </c>
      <c r="H19" s="21">
        <v>464</v>
      </c>
      <c r="I19" s="54">
        <v>232</v>
      </c>
    </row>
    <row r="20" spans="1:10" ht="20.100000000000001" customHeight="1">
      <c r="A20" s="19" t="s">
        <v>22</v>
      </c>
      <c r="B20" s="170">
        <v>0</v>
      </c>
      <c r="C20" s="21">
        <v>4</v>
      </c>
      <c r="D20" s="21">
        <v>0</v>
      </c>
      <c r="E20" s="21">
        <v>0</v>
      </c>
      <c r="F20" s="23">
        <f t="shared" si="0"/>
        <v>4</v>
      </c>
      <c r="G20" s="22">
        <v>12</v>
      </c>
      <c r="H20" s="21">
        <v>232</v>
      </c>
      <c r="I20" s="54">
        <v>175</v>
      </c>
    </row>
    <row r="21" spans="1:10" ht="20.100000000000001" hidden="1" customHeight="1">
      <c r="A21" s="19" t="s">
        <v>23</v>
      </c>
      <c r="B21" s="24"/>
      <c r="C21" s="21"/>
      <c r="D21" s="21"/>
      <c r="E21" s="21"/>
      <c r="F21" s="23">
        <f t="shared" si="0"/>
        <v>0</v>
      </c>
      <c r="G21" s="22"/>
      <c r="H21" s="24"/>
      <c r="I21" s="26"/>
    </row>
    <row r="22" spans="1:10" ht="20.100000000000001" hidden="1" customHeight="1">
      <c r="A22" s="19" t="s">
        <v>24</v>
      </c>
      <c r="B22" s="24"/>
      <c r="C22" s="21"/>
      <c r="D22" s="21"/>
      <c r="E22" s="21"/>
      <c r="F22" s="23">
        <f t="shared" si="0"/>
        <v>0</v>
      </c>
      <c r="G22" s="22"/>
      <c r="H22" s="24"/>
      <c r="I22" s="26"/>
    </row>
    <row r="23" spans="1:10" ht="20.100000000000001" hidden="1" customHeight="1">
      <c r="A23" s="19" t="s">
        <v>25</v>
      </c>
      <c r="B23" s="24"/>
      <c r="C23" s="21"/>
      <c r="D23" s="21"/>
      <c r="E23" s="21"/>
      <c r="F23" s="23">
        <f t="shared" si="0"/>
        <v>0</v>
      </c>
      <c r="G23" s="22"/>
      <c r="H23" s="24"/>
      <c r="I23" s="26"/>
    </row>
    <row r="24" spans="1:10" ht="20.100000000000001" hidden="1" customHeight="1">
      <c r="A24" s="19" t="s">
        <v>26</v>
      </c>
      <c r="B24" s="24"/>
      <c r="C24" s="21"/>
      <c r="D24" s="21"/>
      <c r="E24" s="21"/>
      <c r="F24" s="23">
        <f t="shared" si="0"/>
        <v>0</v>
      </c>
      <c r="G24" s="22"/>
      <c r="H24" s="24"/>
      <c r="I24" s="26"/>
    </row>
    <row r="25" spans="1:10" ht="20.100000000000001" customHeight="1">
      <c r="A25" s="19" t="s">
        <v>176</v>
      </c>
      <c r="B25" s="170">
        <v>0</v>
      </c>
      <c r="C25" s="22">
        <v>0</v>
      </c>
      <c r="D25" s="22">
        <v>0</v>
      </c>
      <c r="E25" s="22">
        <v>5</v>
      </c>
      <c r="F25" s="23">
        <f t="shared" si="0"/>
        <v>5</v>
      </c>
      <c r="G25" s="199">
        <v>5</v>
      </c>
      <c r="H25" s="22">
        <v>319</v>
      </c>
      <c r="I25" s="26">
        <v>231</v>
      </c>
    </row>
    <row r="26" spans="1:10" ht="20.100000000000001" customHeight="1" thickBot="1">
      <c r="A26" s="28" t="s">
        <v>27</v>
      </c>
      <c r="B26" s="29">
        <f>B13+B14+B15+B16+B17+B19+B20+B25</f>
        <v>764</v>
      </c>
      <c r="C26" s="29">
        <f>C13+C14+C15+C16+C18+C19+C20+C25+C17</f>
        <v>11</v>
      </c>
      <c r="D26" s="29">
        <f>D13+D14+D15+D16+D18+D19+D20+D25+D17</f>
        <v>8</v>
      </c>
      <c r="E26" s="29">
        <f>E13+E14+E15+E16+E18+E19+E20+E25+E17</f>
        <v>49</v>
      </c>
      <c r="F26" s="29">
        <f>SUM(F13:F25)</f>
        <v>832</v>
      </c>
      <c r="G26" s="29">
        <f>SUM(G18:G25)</f>
        <v>74</v>
      </c>
      <c r="H26" s="29">
        <f>SUM(H13:H20)+H25</f>
        <v>8047</v>
      </c>
      <c r="I26" s="30">
        <f>I25+I20+I19+I18+I16+I15+I14+I13+I17</f>
        <v>6031</v>
      </c>
      <c r="J26" s="31"/>
    </row>
    <row r="27" spans="1:10" ht="20.100000000000001" customHeight="1" thickBot="1">
      <c r="B27" s="31"/>
      <c r="H27" s="31"/>
    </row>
    <row r="28" spans="1:10" ht="20.100000000000001" customHeight="1" thickBot="1">
      <c r="A28" s="461" t="s">
        <v>28</v>
      </c>
      <c r="B28" s="462"/>
      <c r="C28" s="463"/>
      <c r="D28" s="153"/>
      <c r="F28" s="430" t="s">
        <v>177</v>
      </c>
      <c r="G28" s="431"/>
      <c r="H28" s="431"/>
      <c r="I28" s="431"/>
      <c r="J28" s="449" t="s">
        <v>29</v>
      </c>
    </row>
    <row r="29" spans="1:10" ht="20.100000000000001" customHeight="1" thickBot="1">
      <c r="A29" s="32" t="s">
        <v>5</v>
      </c>
      <c r="B29" s="464" t="s">
        <v>30</v>
      </c>
      <c r="C29" s="465"/>
      <c r="D29" s="171"/>
      <c r="F29" s="172"/>
      <c r="G29" s="173" t="s">
        <v>31</v>
      </c>
      <c r="H29" s="174" t="s">
        <v>32</v>
      </c>
      <c r="I29" s="151" t="s">
        <v>27</v>
      </c>
      <c r="J29" s="450"/>
    </row>
    <row r="30" spans="1:10" ht="20.100000000000001" customHeight="1" thickBot="1">
      <c r="A30" s="19" t="s">
        <v>14</v>
      </c>
      <c r="B30" s="470">
        <v>42</v>
      </c>
      <c r="C30" s="471"/>
      <c r="D30" s="48"/>
      <c r="F30" s="19" t="s">
        <v>33</v>
      </c>
      <c r="G30" s="175">
        <v>315</v>
      </c>
      <c r="H30" s="176">
        <v>132</v>
      </c>
      <c r="I30" s="177">
        <f>G30+H30</f>
        <v>447</v>
      </c>
      <c r="J30" s="178">
        <f>8/29</f>
        <v>0.27586206896551724</v>
      </c>
    </row>
    <row r="31" spans="1:10" ht="20.100000000000001" customHeight="1" thickBot="1">
      <c r="A31" s="19" t="s">
        <v>16</v>
      </c>
      <c r="B31" s="470">
        <v>13</v>
      </c>
      <c r="C31" s="471"/>
      <c r="D31" s="48"/>
      <c r="F31" s="430" t="s">
        <v>178</v>
      </c>
      <c r="G31" s="431"/>
      <c r="H31" s="431"/>
      <c r="I31" s="431"/>
      <c r="J31" s="41"/>
    </row>
    <row r="32" spans="1:10" ht="20.100000000000001" customHeight="1" thickBot="1">
      <c r="A32" s="19" t="s">
        <v>17</v>
      </c>
      <c r="B32" s="470">
        <v>2</v>
      </c>
      <c r="C32" s="471"/>
      <c r="D32" s="48"/>
      <c r="F32" s="172"/>
      <c r="G32" s="173" t="s">
        <v>31</v>
      </c>
      <c r="H32" s="174" t="s">
        <v>32</v>
      </c>
      <c r="I32" s="179" t="s">
        <v>27</v>
      </c>
      <c r="J32" s="449" t="s">
        <v>29</v>
      </c>
    </row>
    <row r="33" spans="1:16" ht="20.100000000000001" customHeight="1" thickBot="1">
      <c r="A33" s="19" t="s">
        <v>18</v>
      </c>
      <c r="B33" s="470">
        <v>0</v>
      </c>
      <c r="C33" s="471"/>
      <c r="D33" s="48"/>
      <c r="F33" s="200" t="s">
        <v>179</v>
      </c>
      <c r="G33" s="201">
        <f>210-17</f>
        <v>193</v>
      </c>
      <c r="H33" s="202">
        <v>0</v>
      </c>
      <c r="I33" s="203">
        <f>G33+H33</f>
        <v>193</v>
      </c>
      <c r="J33" s="450"/>
    </row>
    <row r="34" spans="1:16" ht="20.100000000000001" customHeight="1" thickBot="1">
      <c r="A34" s="35" t="s">
        <v>19</v>
      </c>
      <c r="B34" s="472">
        <v>0</v>
      </c>
      <c r="C34" s="473"/>
      <c r="D34" s="180"/>
      <c r="F34" s="55" t="s">
        <v>180</v>
      </c>
      <c r="G34" s="181">
        <v>17</v>
      </c>
      <c r="H34" s="152">
        <v>0</v>
      </c>
      <c r="I34" s="177">
        <f>G34+H34</f>
        <v>17</v>
      </c>
      <c r="J34" s="480"/>
    </row>
    <row r="35" spans="1:16" ht="20.100000000000001" customHeight="1" thickBot="1">
      <c r="A35" s="36" t="s">
        <v>27</v>
      </c>
      <c r="B35" s="466">
        <f>SUM(B30:B34)</f>
        <v>57</v>
      </c>
      <c r="C35" s="467"/>
      <c r="D35" s="171"/>
      <c r="F35" s="182" t="s">
        <v>27</v>
      </c>
      <c r="G35" s="183">
        <f>SUM(G33:G34)</f>
        <v>210</v>
      </c>
      <c r="H35" s="184">
        <v>0</v>
      </c>
      <c r="I35" s="183">
        <f>G35+H35</f>
        <v>210</v>
      </c>
      <c r="J35" s="204">
        <f>3/29</f>
        <v>0.10344827586206896</v>
      </c>
    </row>
    <row r="36" spans="1:16" ht="20.100000000000001" customHeight="1" thickBot="1">
      <c r="A36" s="37"/>
      <c r="B36" s="38"/>
      <c r="C36" s="38"/>
      <c r="D36" s="38"/>
      <c r="F36" s="33"/>
      <c r="G36" s="33"/>
      <c r="H36" s="33"/>
      <c r="I36" s="33"/>
      <c r="J36" s="34"/>
    </row>
    <row r="37" spans="1:16" ht="20.100000000000001" customHeight="1" thickBot="1">
      <c r="A37" s="41" t="s">
        <v>37</v>
      </c>
      <c r="B37" s="430" t="s">
        <v>38</v>
      </c>
      <c r="C37" s="432"/>
      <c r="D37" s="153"/>
      <c r="F37" s="430" t="s">
        <v>45</v>
      </c>
      <c r="G37" s="431"/>
      <c r="H37" s="431"/>
      <c r="I37" s="431"/>
      <c r="J37" s="432"/>
    </row>
    <row r="38" spans="1:16" ht="37.5" customHeight="1" thickBot="1">
      <c r="A38" s="45" t="s">
        <v>40</v>
      </c>
      <c r="B38" s="481">
        <v>72</v>
      </c>
      <c r="C38" s="482"/>
      <c r="D38" s="185"/>
      <c r="E38" s="185"/>
      <c r="F38" s="468"/>
      <c r="G38" s="469"/>
      <c r="H38" s="46" t="s">
        <v>181</v>
      </c>
      <c r="I38" s="186" t="s">
        <v>182</v>
      </c>
      <c r="J38" s="187" t="s">
        <v>46</v>
      </c>
      <c r="K38" s="33"/>
    </row>
    <row r="39" spans="1:16" ht="20.100000000000001" customHeight="1" thickBot="1">
      <c r="D39" s="75"/>
      <c r="F39" s="443" t="s">
        <v>47</v>
      </c>
      <c r="G39" s="444"/>
      <c r="H39" s="205">
        <v>246</v>
      </c>
      <c r="I39" s="206">
        <v>208</v>
      </c>
      <c r="J39" s="207"/>
      <c r="K39" s="33"/>
      <c r="L39" s="33"/>
      <c r="M39" s="33"/>
      <c r="N39" s="33"/>
      <c r="O39" s="34"/>
    </row>
    <row r="40" spans="1:16" ht="20.100000000000001" customHeight="1" thickBot="1">
      <c r="A40" s="41" t="s">
        <v>168</v>
      </c>
      <c r="B40" s="430" t="s">
        <v>38</v>
      </c>
      <c r="C40" s="432"/>
      <c r="D40" s="75"/>
      <c r="F40" s="443" t="s">
        <v>48</v>
      </c>
      <c r="G40" s="444"/>
      <c r="H40" s="205">
        <v>158</v>
      </c>
      <c r="I40" s="206">
        <v>2</v>
      </c>
      <c r="J40" s="207"/>
      <c r="K40" s="33"/>
      <c r="L40" s="33"/>
      <c r="M40" s="33"/>
      <c r="N40" s="33"/>
      <c r="O40" s="34"/>
    </row>
    <row r="41" spans="1:16" ht="20.100000000000001" customHeight="1" thickBot="1">
      <c r="A41" s="45" t="s">
        <v>183</v>
      </c>
      <c r="B41" s="481">
        <v>176</v>
      </c>
      <c r="C41" s="482"/>
      <c r="F41" s="443" t="s">
        <v>49</v>
      </c>
      <c r="G41" s="444"/>
      <c r="H41" s="205">
        <v>27</v>
      </c>
      <c r="I41" s="206">
        <v>0</v>
      </c>
      <c r="J41" s="207"/>
      <c r="K41" s="33"/>
      <c r="L41" s="33"/>
      <c r="M41" s="33"/>
      <c r="N41" s="33"/>
      <c r="O41" s="34"/>
    </row>
    <row r="42" spans="1:16" ht="20.100000000000001" customHeight="1">
      <c r="F42" s="443" t="s">
        <v>50</v>
      </c>
      <c r="G42" s="444"/>
      <c r="H42" s="205">
        <v>16</v>
      </c>
      <c r="I42" s="206">
        <v>0</v>
      </c>
      <c r="J42" s="207">
        <v>2</v>
      </c>
      <c r="K42" s="33"/>
      <c r="L42" s="33"/>
      <c r="M42" s="33"/>
      <c r="N42" s="33"/>
      <c r="O42" s="34"/>
    </row>
    <row r="43" spans="1:16" ht="32.25" customHeight="1" thickBot="1">
      <c r="F43" s="445" t="s">
        <v>51</v>
      </c>
      <c r="G43" s="446"/>
      <c r="H43" s="208">
        <v>0</v>
      </c>
      <c r="I43" s="209">
        <v>0</v>
      </c>
      <c r="J43" s="207"/>
      <c r="K43" s="33"/>
      <c r="L43" s="33"/>
      <c r="M43" s="33"/>
      <c r="N43" s="33"/>
      <c r="O43" s="34"/>
      <c r="P43" s="49"/>
    </row>
    <row r="44" spans="1:16" ht="20.100000000000001" customHeight="1" thickBot="1">
      <c r="F44" s="447" t="s">
        <v>27</v>
      </c>
      <c r="G44" s="447"/>
      <c r="H44" s="51">
        <f>SUM(H39:H43)</f>
        <v>447</v>
      </c>
      <c r="I44" s="191">
        <f>SUM(I39:I43)</f>
        <v>210</v>
      </c>
      <c r="J44" s="191">
        <f>SUM(J39:J43)</f>
        <v>2</v>
      </c>
      <c r="K44" s="33"/>
      <c r="L44" s="33"/>
      <c r="M44" s="33"/>
      <c r="N44" s="33"/>
      <c r="O44" s="34"/>
    </row>
    <row r="45" spans="1:16" ht="20.100000000000001" customHeight="1" thickBot="1">
      <c r="A45" s="52"/>
      <c r="B45" s="33"/>
      <c r="F45" s="33"/>
      <c r="G45" s="33"/>
      <c r="H45" s="33"/>
      <c r="I45" s="34"/>
      <c r="J45" s="33"/>
      <c r="K45" s="33"/>
      <c r="L45" s="33"/>
      <c r="M45" s="33"/>
      <c r="N45" s="33"/>
      <c r="O45" s="34"/>
    </row>
    <row r="46" spans="1:16" ht="20.100000000000001" customHeight="1" thickBot="1">
      <c r="A46" s="430" t="s">
        <v>34</v>
      </c>
      <c r="B46" s="431"/>
      <c r="C46" s="431"/>
      <c r="D46" s="432"/>
      <c r="E46" s="33"/>
      <c r="F46" s="433" t="s">
        <v>184</v>
      </c>
      <c r="G46" s="434"/>
      <c r="H46" s="435"/>
      <c r="I46" s="476">
        <v>0.3</v>
      </c>
      <c r="J46" s="47"/>
      <c r="K46" s="33"/>
      <c r="L46" s="33"/>
      <c r="M46" s="34"/>
    </row>
    <row r="47" spans="1:16" ht="44.25" customHeight="1" thickBot="1">
      <c r="A47" s="192"/>
      <c r="B47" s="39" t="s">
        <v>35</v>
      </c>
      <c r="C47" s="40" t="s">
        <v>36</v>
      </c>
      <c r="D47" s="193" t="s">
        <v>27</v>
      </c>
      <c r="F47" s="436"/>
      <c r="G47" s="437"/>
      <c r="H47" s="438"/>
      <c r="I47" s="477"/>
      <c r="J47" s="195"/>
    </row>
    <row r="48" spans="1:16" ht="20.100000000000001" customHeight="1" thickBot="1">
      <c r="A48" s="194" t="s">
        <v>39</v>
      </c>
      <c r="B48" s="42">
        <v>81</v>
      </c>
      <c r="C48" s="43">
        <v>1164</v>
      </c>
      <c r="D48" s="44">
        <f>SUM(B48:C48)</f>
        <v>1245</v>
      </c>
      <c r="E48" s="13"/>
      <c r="F48" s="105"/>
      <c r="G48" s="196"/>
      <c r="H48" s="48"/>
      <c r="I48" s="197"/>
      <c r="J48" s="47"/>
    </row>
    <row r="49" spans="1:19" ht="20.100000000000001" customHeight="1" thickBot="1">
      <c r="E49" s="13"/>
      <c r="F49" s="433" t="s">
        <v>141</v>
      </c>
      <c r="G49" s="434"/>
      <c r="H49" s="435"/>
      <c r="I49" s="478">
        <v>0.2</v>
      </c>
      <c r="J49" s="198"/>
      <c r="K49" s="13"/>
      <c r="L49" s="13"/>
      <c r="M49" s="13"/>
      <c r="N49" s="13"/>
      <c r="O49" s="13"/>
      <c r="P49" s="13"/>
      <c r="Q49" s="13"/>
      <c r="R49" s="13"/>
      <c r="S49" s="13"/>
    </row>
    <row r="50" spans="1:19" ht="20.100000000000001" customHeight="1" thickBot="1">
      <c r="A50" s="430" t="s">
        <v>41</v>
      </c>
      <c r="B50" s="431"/>
      <c r="C50" s="431"/>
      <c r="D50" s="432"/>
      <c r="E50" s="13"/>
      <c r="F50" s="436"/>
      <c r="G50" s="437"/>
      <c r="H50" s="438"/>
      <c r="I50" s="479"/>
      <c r="J50" s="13"/>
      <c r="K50" s="198"/>
      <c r="L50" s="198"/>
      <c r="M50" s="198"/>
      <c r="N50" s="198"/>
      <c r="O50" s="198"/>
      <c r="P50" s="198"/>
      <c r="Q50" s="198"/>
      <c r="R50" s="13"/>
      <c r="S50" s="13"/>
    </row>
    <row r="51" spans="1:19" ht="20.100000000000001" customHeight="1" thickBot="1">
      <c r="A51" s="192"/>
      <c r="B51" s="46" t="s">
        <v>42</v>
      </c>
      <c r="C51" s="17" t="s">
        <v>43</v>
      </c>
      <c r="D51" s="193" t="s">
        <v>27</v>
      </c>
      <c r="F51" s="77"/>
      <c r="G51" s="171"/>
      <c r="H51" s="171"/>
      <c r="I51" s="171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ht="20.100000000000001" customHeight="1" thickBot="1">
      <c r="A52" s="194" t="s">
        <v>44</v>
      </c>
      <c r="B52" s="42">
        <v>1453</v>
      </c>
      <c r="C52" s="43">
        <v>216</v>
      </c>
      <c r="D52" s="44">
        <f>SUM(B52:C52)</f>
        <v>1669</v>
      </c>
      <c r="F52" s="105"/>
      <c r="G52" s="196"/>
      <c r="H52" s="48"/>
      <c r="I52" s="197"/>
      <c r="K52" s="13"/>
      <c r="L52" s="13"/>
      <c r="M52" s="13"/>
      <c r="N52" s="13"/>
      <c r="O52" s="13"/>
      <c r="P52" s="13"/>
      <c r="Q52" s="13"/>
      <c r="R52" s="13"/>
      <c r="S52" s="13"/>
    </row>
    <row r="53" spans="1:19" ht="20.100000000000001" customHeight="1">
      <c r="H53" s="448"/>
      <c r="I53" s="448"/>
    </row>
    <row r="54" spans="1:19">
      <c r="I54" s="48"/>
    </row>
    <row r="55" spans="1:19">
      <c r="E55" s="47"/>
    </row>
    <row r="56" spans="1:19">
      <c r="E56" s="47"/>
    </row>
    <row r="57" spans="1:19">
      <c r="E57" s="2"/>
    </row>
    <row r="60" spans="1:19">
      <c r="F60" s="47"/>
      <c r="G60" s="47"/>
    </row>
    <row r="61" spans="1:19" ht="15.75">
      <c r="F61" s="153"/>
    </row>
    <row r="62" spans="1:19" ht="15.75">
      <c r="E62" s="153"/>
      <c r="F62" s="33"/>
    </row>
    <row r="63" spans="1:19">
      <c r="E63" s="48"/>
      <c r="F63" s="47"/>
    </row>
    <row r="64" spans="1:19">
      <c r="E64" s="47"/>
    </row>
  </sheetData>
  <sheetProtection selectLockedCells="1" selectUnlockedCells="1"/>
  <mergeCells count="33">
    <mergeCell ref="B41:C41"/>
    <mergeCell ref="F41:G41"/>
    <mergeCell ref="B37:C37"/>
    <mergeCell ref="B38:C38"/>
    <mergeCell ref="B35:C35"/>
    <mergeCell ref="F39:G39"/>
    <mergeCell ref="B40:C40"/>
    <mergeCell ref="F40:G40"/>
    <mergeCell ref="B30:C30"/>
    <mergeCell ref="B31:C31"/>
    <mergeCell ref="B32:C32"/>
    <mergeCell ref="B33:C33"/>
    <mergeCell ref="B34:C34"/>
    <mergeCell ref="A7:I7"/>
    <mergeCell ref="A11:I11"/>
    <mergeCell ref="A28:C28"/>
    <mergeCell ref="B29:C29"/>
    <mergeCell ref="F28:I28"/>
    <mergeCell ref="J28:J29"/>
    <mergeCell ref="F31:I31"/>
    <mergeCell ref="J32:J34"/>
    <mergeCell ref="F37:J37"/>
    <mergeCell ref="F38:G38"/>
    <mergeCell ref="F42:G42"/>
    <mergeCell ref="F43:G43"/>
    <mergeCell ref="F44:G44"/>
    <mergeCell ref="A46:D46"/>
    <mergeCell ref="F46:H47"/>
    <mergeCell ref="I46:I47"/>
    <mergeCell ref="F49:H50"/>
    <mergeCell ref="I49:I50"/>
    <mergeCell ref="A50:D50"/>
    <mergeCell ref="H53:I53"/>
  </mergeCells>
  <printOptions horizontalCentered="1"/>
  <pageMargins left="0.51181102362204722" right="0.51181102362204722" top="0.78740157480314965" bottom="0.19685039370078741" header="0.51181102362204722" footer="0.15748031496062992"/>
  <pageSetup paperSize="9" scale="50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64"/>
  <sheetViews>
    <sheetView showGridLines="0" view="pageBreakPreview" topLeftCell="A7" zoomScale="55" zoomScaleSheetLayoutView="55" workbookViewId="0">
      <selection activeCell="H66" sqref="H66"/>
    </sheetView>
  </sheetViews>
  <sheetFormatPr defaultColWidth="28.140625" defaultRowHeight="15"/>
  <cols>
    <col min="1" max="1" width="53.42578125" style="1" customWidth="1"/>
    <col min="2" max="2" width="18.42578125" style="1" customWidth="1"/>
    <col min="3" max="3" width="20.85546875" style="1" customWidth="1"/>
    <col min="4" max="4" width="21.5703125" style="1" customWidth="1"/>
    <col min="5" max="5" width="23.5703125" style="1" customWidth="1"/>
    <col min="6" max="6" width="24.42578125" style="1" customWidth="1"/>
    <col min="7" max="7" width="28.42578125" style="1" customWidth="1"/>
    <col min="8" max="8" width="24.7109375" style="1" customWidth="1"/>
    <col min="9" max="9" width="41" style="1" customWidth="1"/>
    <col min="10" max="16384" width="28.140625" style="1"/>
  </cols>
  <sheetData>
    <row r="1" spans="1:15">
      <c r="J1" s="2"/>
      <c r="K1" s="2"/>
      <c r="L1" s="2"/>
      <c r="M1" s="2"/>
      <c r="N1" s="2"/>
      <c r="O1" s="2"/>
    </row>
    <row r="2" spans="1:15">
      <c r="J2" s="2"/>
      <c r="K2" s="2"/>
      <c r="L2" s="2"/>
      <c r="M2" s="2"/>
      <c r="N2" s="2"/>
      <c r="O2" s="2"/>
    </row>
    <row r="3" spans="1:15">
      <c r="J3" s="2"/>
      <c r="K3" s="2"/>
      <c r="L3" s="2"/>
      <c r="M3" s="2"/>
      <c r="N3" s="2"/>
      <c r="O3" s="2"/>
    </row>
    <row r="4" spans="1:15">
      <c r="J4" s="2"/>
      <c r="K4" s="2"/>
      <c r="L4" s="2"/>
      <c r="M4" s="2"/>
      <c r="N4" s="2"/>
    </row>
    <row r="5" spans="1:15" s="4" customFormat="1" ht="15.75" customHeight="1">
      <c r="A5" s="1"/>
      <c r="B5" s="1"/>
      <c r="C5" s="1"/>
      <c r="D5" s="1"/>
      <c r="E5" s="1"/>
      <c r="F5" s="1"/>
      <c r="G5" s="1"/>
      <c r="H5" s="1"/>
      <c r="I5" s="1"/>
      <c r="J5" s="3"/>
      <c r="K5" s="3"/>
      <c r="L5" s="3"/>
      <c r="M5" s="3"/>
      <c r="N5" s="3"/>
    </row>
    <row r="6" spans="1:15" s="4" customFormat="1" ht="15.75" customHeight="1">
      <c r="A6" s="1"/>
      <c r="B6" s="1"/>
      <c r="C6" s="1"/>
      <c r="D6" s="1"/>
      <c r="E6" s="1"/>
      <c r="F6" s="1"/>
      <c r="G6" s="1"/>
      <c r="H6" s="1"/>
      <c r="I6" s="1"/>
      <c r="J6" s="3"/>
      <c r="K6" s="3"/>
      <c r="L6" s="3"/>
      <c r="M6" s="3"/>
      <c r="N6" s="3"/>
    </row>
    <row r="7" spans="1:15" s="4" customFormat="1" ht="18" customHeight="1">
      <c r="A7" s="460" t="s">
        <v>0</v>
      </c>
      <c r="B7" s="460"/>
      <c r="C7" s="460"/>
      <c r="D7" s="460"/>
      <c r="E7" s="460"/>
      <c r="F7" s="460"/>
      <c r="G7" s="460"/>
      <c r="H7" s="460"/>
      <c r="I7" s="460"/>
    </row>
    <row r="8" spans="1:15" ht="18">
      <c r="A8" s="5" t="s">
        <v>1</v>
      </c>
      <c r="B8" s="6" t="s">
        <v>186</v>
      </c>
      <c r="C8" s="7"/>
      <c r="D8" s="8"/>
      <c r="E8" s="9"/>
      <c r="F8" s="7"/>
      <c r="G8" s="7"/>
      <c r="H8" s="7"/>
      <c r="I8" s="10"/>
    </row>
    <row r="9" spans="1:15" ht="15.75">
      <c r="A9" s="11" t="s">
        <v>2</v>
      </c>
      <c r="B9" s="12" t="s">
        <v>3</v>
      </c>
      <c r="D9" s="13"/>
      <c r="E9" s="13"/>
      <c r="J9" s="14"/>
      <c r="K9" s="14"/>
      <c r="L9" s="14"/>
      <c r="M9" s="14"/>
      <c r="N9" s="14"/>
      <c r="O9" s="14"/>
    </row>
    <row r="10" spans="1:15" ht="16.5" thickBot="1">
      <c r="A10" s="11"/>
      <c r="B10" s="15"/>
      <c r="D10" s="13"/>
      <c r="E10" s="13"/>
      <c r="J10" s="14"/>
      <c r="K10" s="14"/>
      <c r="L10" s="14"/>
      <c r="M10" s="14"/>
      <c r="N10" s="14"/>
      <c r="O10" s="14"/>
    </row>
    <row r="11" spans="1:15" ht="27" customHeight="1" thickBot="1">
      <c r="A11" s="430" t="s">
        <v>4</v>
      </c>
      <c r="B11" s="431"/>
      <c r="C11" s="431"/>
      <c r="D11" s="431"/>
      <c r="E11" s="431"/>
      <c r="F11" s="431"/>
      <c r="G11" s="431"/>
      <c r="H11" s="431"/>
      <c r="I11" s="432"/>
    </row>
    <row r="12" spans="1:15" ht="34.5" customHeight="1">
      <c r="A12" s="16" t="s">
        <v>5</v>
      </c>
      <c r="B12" s="17" t="s">
        <v>6</v>
      </c>
      <c r="C12" s="17" t="s">
        <v>7</v>
      </c>
      <c r="D12" s="17" t="s">
        <v>8</v>
      </c>
      <c r="E12" s="17" t="s">
        <v>9</v>
      </c>
      <c r="F12" s="17" t="s">
        <v>10</v>
      </c>
      <c r="G12" s="17" t="s">
        <v>11</v>
      </c>
      <c r="H12" s="17" t="s">
        <v>12</v>
      </c>
      <c r="I12" s="18" t="s">
        <v>13</v>
      </c>
    </row>
    <row r="13" spans="1:15" ht="20.100000000000001" customHeight="1">
      <c r="A13" s="19" t="s">
        <v>14</v>
      </c>
      <c r="B13" s="20">
        <f>9+35+83</f>
        <v>127</v>
      </c>
      <c r="C13" s="21">
        <v>4</v>
      </c>
      <c r="D13" s="22">
        <v>4</v>
      </c>
      <c r="E13" s="21">
        <f>9+4+3</f>
        <v>16</v>
      </c>
      <c r="F13" s="23">
        <f>SUM(B13:E13)</f>
        <v>151</v>
      </c>
      <c r="G13" s="24" t="s">
        <v>15</v>
      </c>
      <c r="H13" s="25">
        <f>627+735+726</f>
        <v>2088</v>
      </c>
      <c r="I13" s="53">
        <f>581+678+620</f>
        <v>1879</v>
      </c>
    </row>
    <row r="14" spans="1:15" ht="20.100000000000001" customHeight="1">
      <c r="A14" s="19" t="s">
        <v>16</v>
      </c>
      <c r="B14" s="20">
        <f>168+108+85</f>
        <v>361</v>
      </c>
      <c r="C14" s="21">
        <v>1</v>
      </c>
      <c r="D14" s="21">
        <v>0</v>
      </c>
      <c r="E14" s="21">
        <v>2</v>
      </c>
      <c r="F14" s="23">
        <f t="shared" ref="F14:F25" si="0">SUM(B14:E14)</f>
        <v>364</v>
      </c>
      <c r="G14" s="24" t="s">
        <v>15</v>
      </c>
      <c r="H14" s="25">
        <f>744+742+744</f>
        <v>2230</v>
      </c>
      <c r="I14" s="53">
        <f>279+567+664</f>
        <v>1510</v>
      </c>
    </row>
    <row r="15" spans="1:15" ht="20.100000000000001" customHeight="1">
      <c r="A15" s="19" t="s">
        <v>17</v>
      </c>
      <c r="B15" s="20">
        <v>132</v>
      </c>
      <c r="C15" s="21">
        <v>0</v>
      </c>
      <c r="D15" s="21">
        <v>0</v>
      </c>
      <c r="E15" s="21">
        <v>0</v>
      </c>
      <c r="F15" s="23">
        <f t="shared" si="0"/>
        <v>132</v>
      </c>
      <c r="G15" s="24" t="s">
        <v>15</v>
      </c>
      <c r="H15" s="25">
        <v>726</v>
      </c>
      <c r="I15" s="53">
        <v>590</v>
      </c>
    </row>
    <row r="16" spans="1:15" ht="20.100000000000001" customHeight="1">
      <c r="A16" s="19" t="s">
        <v>18</v>
      </c>
      <c r="B16" s="20">
        <f>80+126</f>
        <v>206</v>
      </c>
      <c r="C16" s="21">
        <v>0</v>
      </c>
      <c r="D16" s="21">
        <v>0</v>
      </c>
      <c r="E16" s="21">
        <v>0</v>
      </c>
      <c r="F16" s="23">
        <f t="shared" si="0"/>
        <v>206</v>
      </c>
      <c r="G16" s="24" t="s">
        <v>15</v>
      </c>
      <c r="H16" s="25">
        <f>744+651</f>
        <v>1395</v>
      </c>
      <c r="I16" s="53">
        <f>560+507</f>
        <v>1067</v>
      </c>
    </row>
    <row r="17" spans="1:10" ht="20.100000000000001" customHeight="1">
      <c r="A17" s="19" t="s">
        <v>19</v>
      </c>
      <c r="B17" s="20">
        <v>9</v>
      </c>
      <c r="C17" s="21">
        <v>0</v>
      </c>
      <c r="D17" s="21">
        <v>0</v>
      </c>
      <c r="E17" s="21">
        <v>0</v>
      </c>
      <c r="F17" s="23">
        <f t="shared" si="0"/>
        <v>9</v>
      </c>
      <c r="G17" s="24" t="s">
        <v>15</v>
      </c>
      <c r="H17" s="25">
        <v>341</v>
      </c>
      <c r="I17" s="53">
        <v>263</v>
      </c>
    </row>
    <row r="18" spans="1:10" ht="20.100000000000001" customHeight="1">
      <c r="A18" s="19" t="s">
        <v>20</v>
      </c>
      <c r="B18" s="24"/>
      <c r="C18" s="21">
        <v>1</v>
      </c>
      <c r="D18" s="21">
        <v>2</v>
      </c>
      <c r="E18" s="21">
        <f>13+9</f>
        <v>22</v>
      </c>
      <c r="F18" s="23">
        <f t="shared" si="0"/>
        <v>25</v>
      </c>
      <c r="G18" s="22">
        <f>37+22</f>
        <v>59</v>
      </c>
      <c r="H18" s="21">
        <f>310+310</f>
        <v>620</v>
      </c>
      <c r="I18" s="54">
        <f>294+292</f>
        <v>586</v>
      </c>
    </row>
    <row r="19" spans="1:10" ht="20.100000000000001" customHeight="1">
      <c r="A19" s="19" t="s">
        <v>21</v>
      </c>
      <c r="B19" s="169">
        <v>12</v>
      </c>
      <c r="C19" s="21">
        <v>0</v>
      </c>
      <c r="D19" s="21">
        <v>0</v>
      </c>
      <c r="E19" s="21">
        <v>0</v>
      </c>
      <c r="F19" s="23">
        <f t="shared" si="0"/>
        <v>12</v>
      </c>
      <c r="G19" s="24" t="s">
        <v>15</v>
      </c>
      <c r="H19" s="21">
        <v>496</v>
      </c>
      <c r="I19" s="54">
        <v>242</v>
      </c>
    </row>
    <row r="20" spans="1:10" ht="20.100000000000001" customHeight="1">
      <c r="A20" s="19" t="s">
        <v>22</v>
      </c>
      <c r="B20" s="170">
        <v>0</v>
      </c>
      <c r="C20" s="21">
        <v>0</v>
      </c>
      <c r="D20" s="21">
        <v>0</v>
      </c>
      <c r="E20" s="21">
        <v>0</v>
      </c>
      <c r="F20" s="23">
        <f t="shared" si="0"/>
        <v>0</v>
      </c>
      <c r="G20" s="22">
        <v>20</v>
      </c>
      <c r="H20" s="21">
        <v>248</v>
      </c>
      <c r="I20" s="54">
        <v>181</v>
      </c>
    </row>
    <row r="21" spans="1:10" ht="20.100000000000001" hidden="1" customHeight="1">
      <c r="A21" s="19" t="s">
        <v>23</v>
      </c>
      <c r="B21" s="24"/>
      <c r="C21" s="21"/>
      <c r="D21" s="21"/>
      <c r="E21" s="21"/>
      <c r="F21" s="23">
        <f t="shared" si="0"/>
        <v>0</v>
      </c>
      <c r="G21" s="22"/>
      <c r="H21" s="24"/>
      <c r="I21" s="26"/>
    </row>
    <row r="22" spans="1:10" ht="20.100000000000001" hidden="1" customHeight="1">
      <c r="A22" s="19" t="s">
        <v>24</v>
      </c>
      <c r="B22" s="24"/>
      <c r="C22" s="21"/>
      <c r="D22" s="21"/>
      <c r="E22" s="21"/>
      <c r="F22" s="23">
        <f t="shared" si="0"/>
        <v>0</v>
      </c>
      <c r="G22" s="22"/>
      <c r="H22" s="24"/>
      <c r="I22" s="26"/>
    </row>
    <row r="23" spans="1:10" ht="20.100000000000001" hidden="1" customHeight="1">
      <c r="A23" s="19" t="s">
        <v>25</v>
      </c>
      <c r="B23" s="24"/>
      <c r="C23" s="21"/>
      <c r="D23" s="21"/>
      <c r="E23" s="21"/>
      <c r="F23" s="23">
        <f t="shared" si="0"/>
        <v>0</v>
      </c>
      <c r="G23" s="22"/>
      <c r="H23" s="24"/>
      <c r="I23" s="26"/>
    </row>
    <row r="24" spans="1:10" ht="20.100000000000001" hidden="1" customHeight="1">
      <c r="A24" s="19" t="s">
        <v>26</v>
      </c>
      <c r="B24" s="24"/>
      <c r="C24" s="21"/>
      <c r="D24" s="21"/>
      <c r="E24" s="21"/>
      <c r="F24" s="23">
        <f t="shared" si="0"/>
        <v>0</v>
      </c>
      <c r="G24" s="22"/>
      <c r="H24" s="24"/>
      <c r="I24" s="26"/>
    </row>
    <row r="25" spans="1:10" ht="20.100000000000001" customHeight="1">
      <c r="A25" s="19" t="s">
        <v>176</v>
      </c>
      <c r="B25" s="170">
        <v>0</v>
      </c>
      <c r="C25" s="22">
        <v>0</v>
      </c>
      <c r="D25" s="22">
        <v>2</v>
      </c>
      <c r="E25" s="22">
        <v>0</v>
      </c>
      <c r="F25" s="23">
        <f t="shared" si="0"/>
        <v>2</v>
      </c>
      <c r="G25" s="199">
        <v>7</v>
      </c>
      <c r="H25" s="22">
        <v>341</v>
      </c>
      <c r="I25" s="26">
        <v>255</v>
      </c>
    </row>
    <row r="26" spans="1:10" ht="20.100000000000001" customHeight="1" thickBot="1">
      <c r="A26" s="28" t="s">
        <v>27</v>
      </c>
      <c r="B26" s="29">
        <f>B13+B14+B15+B16+B17+B19+B20+B25</f>
        <v>847</v>
      </c>
      <c r="C26" s="29">
        <f>C13+C14+C15+C16+C18+C19+C20+C25+C17</f>
        <v>6</v>
      </c>
      <c r="D26" s="29">
        <f>D13+D14+D15+D16+D18+D19+D20+D25+D17</f>
        <v>8</v>
      </c>
      <c r="E26" s="29">
        <f>E13+E14+E15+E16+E18+E19+E20+E25+E17</f>
        <v>40</v>
      </c>
      <c r="F26" s="29">
        <f>SUM(F13:F25)</f>
        <v>901</v>
      </c>
      <c r="G26" s="29">
        <f>SUM(G18:G25)</f>
        <v>86</v>
      </c>
      <c r="H26" s="29">
        <f>SUM(H13:H20)+H25</f>
        <v>8485</v>
      </c>
      <c r="I26" s="30">
        <f>I25+I20+I19+I18+I16+I15+I14+I13+I17</f>
        <v>6573</v>
      </c>
      <c r="J26" s="31"/>
    </row>
    <row r="27" spans="1:10" ht="20.100000000000001" customHeight="1" thickBot="1">
      <c r="B27" s="31"/>
      <c r="H27" s="31"/>
    </row>
    <row r="28" spans="1:10" ht="20.100000000000001" customHeight="1" thickBot="1">
      <c r="A28" s="461" t="s">
        <v>28</v>
      </c>
      <c r="B28" s="462"/>
      <c r="C28" s="463"/>
      <c r="D28" s="153"/>
      <c r="F28" s="430" t="s">
        <v>177</v>
      </c>
      <c r="G28" s="431"/>
      <c r="H28" s="431"/>
      <c r="I28" s="431"/>
      <c r="J28" s="449" t="s">
        <v>29</v>
      </c>
    </row>
    <row r="29" spans="1:10" ht="20.100000000000001" customHeight="1" thickBot="1">
      <c r="A29" s="32" t="s">
        <v>5</v>
      </c>
      <c r="B29" s="464" t="s">
        <v>30</v>
      </c>
      <c r="C29" s="465"/>
      <c r="D29" s="171"/>
      <c r="F29" s="172"/>
      <c r="G29" s="173" t="s">
        <v>31</v>
      </c>
      <c r="H29" s="174" t="s">
        <v>32</v>
      </c>
      <c r="I29" s="151" t="s">
        <v>27</v>
      </c>
      <c r="J29" s="450"/>
    </row>
    <row r="30" spans="1:10" ht="20.100000000000001" customHeight="1" thickBot="1">
      <c r="A30" s="19" t="s">
        <v>14</v>
      </c>
      <c r="B30" s="470">
        <v>44</v>
      </c>
      <c r="C30" s="471"/>
      <c r="D30" s="48"/>
      <c r="F30" s="19" t="s">
        <v>33</v>
      </c>
      <c r="G30" s="175">
        <v>330</v>
      </c>
      <c r="H30" s="176">
        <v>149</v>
      </c>
      <c r="I30" s="177">
        <f>G30+H30</f>
        <v>479</v>
      </c>
      <c r="J30" s="178">
        <f>8/31</f>
        <v>0.25806451612903225</v>
      </c>
    </row>
    <row r="31" spans="1:10" ht="20.100000000000001" customHeight="1" thickBot="1">
      <c r="A31" s="19" t="s">
        <v>16</v>
      </c>
      <c r="B31" s="470">
        <v>14</v>
      </c>
      <c r="C31" s="471"/>
      <c r="D31" s="48"/>
      <c r="F31" s="430" t="s">
        <v>178</v>
      </c>
      <c r="G31" s="431"/>
      <c r="H31" s="431"/>
      <c r="I31" s="431"/>
      <c r="J31" s="41"/>
    </row>
    <row r="32" spans="1:10" ht="20.100000000000001" customHeight="1" thickBot="1">
      <c r="A32" s="19" t="s">
        <v>17</v>
      </c>
      <c r="B32" s="470">
        <v>1</v>
      </c>
      <c r="C32" s="471"/>
      <c r="D32" s="48"/>
      <c r="F32" s="172"/>
      <c r="G32" s="173" t="s">
        <v>31</v>
      </c>
      <c r="H32" s="174" t="s">
        <v>32</v>
      </c>
      <c r="I32" s="179" t="s">
        <v>27</v>
      </c>
      <c r="J32" s="449" t="s">
        <v>29</v>
      </c>
    </row>
    <row r="33" spans="1:16" ht="20.100000000000001" customHeight="1" thickBot="1">
      <c r="A33" s="19" t="s">
        <v>18</v>
      </c>
      <c r="B33" s="470">
        <v>0</v>
      </c>
      <c r="C33" s="471"/>
      <c r="D33" s="48"/>
      <c r="F33" s="200" t="s">
        <v>179</v>
      </c>
      <c r="G33" s="201">
        <v>169</v>
      </c>
      <c r="H33" s="202">
        <v>0</v>
      </c>
      <c r="I33" s="203">
        <f>G33+H33</f>
        <v>169</v>
      </c>
      <c r="J33" s="450"/>
    </row>
    <row r="34" spans="1:16" ht="20.100000000000001" customHeight="1" thickBot="1">
      <c r="A34" s="35" t="s">
        <v>19</v>
      </c>
      <c r="B34" s="472">
        <v>0</v>
      </c>
      <c r="C34" s="473"/>
      <c r="D34" s="180"/>
      <c r="F34" s="55" t="s">
        <v>180</v>
      </c>
      <c r="G34" s="181">
        <v>31</v>
      </c>
      <c r="H34" s="152">
        <v>0</v>
      </c>
      <c r="I34" s="177">
        <f>G34+H34</f>
        <v>31</v>
      </c>
      <c r="J34" s="480"/>
    </row>
    <row r="35" spans="1:16" ht="20.100000000000001" customHeight="1" thickBot="1">
      <c r="A35" s="36" t="s">
        <v>27</v>
      </c>
      <c r="B35" s="466">
        <f>SUM(B30:B34)</f>
        <v>59</v>
      </c>
      <c r="C35" s="467"/>
      <c r="D35" s="171"/>
      <c r="F35" s="182" t="s">
        <v>27</v>
      </c>
      <c r="G35" s="183">
        <f>SUM(G33:G34)</f>
        <v>200</v>
      </c>
      <c r="H35" s="184">
        <v>0</v>
      </c>
      <c r="I35" s="183">
        <f>G35+H35</f>
        <v>200</v>
      </c>
      <c r="J35" s="204">
        <f>3/31</f>
        <v>9.6774193548387094E-2</v>
      </c>
    </row>
    <row r="36" spans="1:16" ht="20.100000000000001" customHeight="1" thickBot="1">
      <c r="A36" s="37"/>
      <c r="B36" s="38"/>
      <c r="C36" s="38"/>
      <c r="D36" s="38"/>
      <c r="F36" s="33"/>
      <c r="G36" s="33"/>
      <c r="H36" s="33"/>
      <c r="I36" s="33"/>
      <c r="J36" s="34"/>
    </row>
    <row r="37" spans="1:16" ht="20.100000000000001" customHeight="1" thickBot="1">
      <c r="A37" s="41" t="s">
        <v>37</v>
      </c>
      <c r="B37" s="430" t="s">
        <v>38</v>
      </c>
      <c r="C37" s="432"/>
      <c r="D37" s="153"/>
      <c r="F37" s="430" t="s">
        <v>45</v>
      </c>
      <c r="G37" s="431"/>
      <c r="H37" s="431"/>
      <c r="I37" s="431"/>
      <c r="J37" s="432"/>
    </row>
    <row r="38" spans="1:16" ht="37.5" customHeight="1" thickBot="1">
      <c r="A38" s="45" t="s">
        <v>40</v>
      </c>
      <c r="B38" s="481">
        <v>95</v>
      </c>
      <c r="C38" s="482"/>
      <c r="D38" s="185"/>
      <c r="E38" s="185"/>
      <c r="F38" s="468"/>
      <c r="G38" s="469"/>
      <c r="H38" s="46" t="s">
        <v>181</v>
      </c>
      <c r="I38" s="186" t="s">
        <v>182</v>
      </c>
      <c r="J38" s="187" t="s">
        <v>46</v>
      </c>
      <c r="K38" s="33"/>
    </row>
    <row r="39" spans="1:16" ht="20.100000000000001" customHeight="1" thickBot="1">
      <c r="D39" s="75"/>
      <c r="F39" s="443" t="s">
        <v>47</v>
      </c>
      <c r="G39" s="444"/>
      <c r="H39" s="50">
        <v>260</v>
      </c>
      <c r="I39" s="50">
        <v>200</v>
      </c>
      <c r="J39" s="188">
        <v>0</v>
      </c>
      <c r="K39" s="33"/>
      <c r="L39" s="33"/>
      <c r="M39" s="33"/>
      <c r="N39" s="33"/>
      <c r="O39" s="34"/>
    </row>
    <row r="40" spans="1:16" ht="20.100000000000001" customHeight="1" thickBot="1">
      <c r="A40" s="41" t="s">
        <v>168</v>
      </c>
      <c r="B40" s="430" t="s">
        <v>38</v>
      </c>
      <c r="C40" s="432"/>
      <c r="D40" s="75"/>
      <c r="F40" s="443" t="s">
        <v>48</v>
      </c>
      <c r="G40" s="444"/>
      <c r="H40" s="50">
        <v>175</v>
      </c>
      <c r="I40" s="50">
        <v>0</v>
      </c>
      <c r="J40" s="188">
        <v>0</v>
      </c>
      <c r="K40" s="33"/>
      <c r="L40" s="33"/>
      <c r="M40" s="33"/>
      <c r="N40" s="33"/>
      <c r="O40" s="34"/>
    </row>
    <row r="41" spans="1:16" ht="20.100000000000001" customHeight="1" thickBot="1">
      <c r="A41" s="45" t="s">
        <v>183</v>
      </c>
      <c r="B41" s="481">
        <v>221</v>
      </c>
      <c r="C41" s="482"/>
      <c r="F41" s="443" t="s">
        <v>49</v>
      </c>
      <c r="G41" s="444"/>
      <c r="H41" s="50">
        <v>26</v>
      </c>
      <c r="I41" s="50">
        <v>0</v>
      </c>
      <c r="J41" s="188">
        <v>1</v>
      </c>
      <c r="K41" s="33"/>
      <c r="L41" s="33"/>
      <c r="M41" s="33"/>
      <c r="N41" s="33"/>
      <c r="O41" s="34"/>
    </row>
    <row r="42" spans="1:16" ht="20.100000000000001" customHeight="1">
      <c r="F42" s="443" t="s">
        <v>50</v>
      </c>
      <c r="G42" s="444"/>
      <c r="H42" s="50">
        <v>18</v>
      </c>
      <c r="I42" s="50">
        <v>0</v>
      </c>
      <c r="J42" s="188">
        <v>0</v>
      </c>
      <c r="K42" s="33"/>
      <c r="L42" s="33"/>
      <c r="M42" s="33"/>
      <c r="N42" s="33"/>
      <c r="O42" s="34"/>
    </row>
    <row r="43" spans="1:16" ht="32.25" customHeight="1" thickBot="1">
      <c r="F43" s="445" t="s">
        <v>51</v>
      </c>
      <c r="G43" s="446"/>
      <c r="H43" s="50">
        <v>0</v>
      </c>
      <c r="I43" s="50">
        <v>0</v>
      </c>
      <c r="J43" s="188">
        <v>0</v>
      </c>
      <c r="K43" s="33"/>
      <c r="L43" s="33"/>
      <c r="M43" s="33"/>
      <c r="N43" s="33"/>
      <c r="O43" s="34"/>
      <c r="P43" s="49"/>
    </row>
    <row r="44" spans="1:16" ht="20.100000000000001" customHeight="1" thickBot="1">
      <c r="F44" s="447" t="s">
        <v>27</v>
      </c>
      <c r="G44" s="447"/>
      <c r="H44" s="51">
        <f>SUM(H39:H43)</f>
        <v>479</v>
      </c>
      <c r="I44" s="191">
        <f>SUM(I39:I43)</f>
        <v>200</v>
      </c>
      <c r="J44" s="191">
        <f>SUM(J39:J43)</f>
        <v>1</v>
      </c>
      <c r="K44" s="33"/>
      <c r="L44" s="33"/>
      <c r="M44" s="33"/>
      <c r="N44" s="33"/>
      <c r="O44" s="34"/>
    </row>
    <row r="45" spans="1:16" ht="20.100000000000001" customHeight="1" thickBot="1">
      <c r="A45" s="52"/>
      <c r="B45" s="33"/>
      <c r="F45" s="33"/>
      <c r="G45" s="33"/>
      <c r="H45" s="33"/>
      <c r="I45" s="34"/>
      <c r="J45" s="33"/>
      <c r="K45" s="33"/>
      <c r="L45" s="33"/>
      <c r="M45" s="33"/>
      <c r="N45" s="33"/>
      <c r="O45" s="34"/>
    </row>
    <row r="46" spans="1:16" ht="20.100000000000001" customHeight="1" thickBot="1">
      <c r="A46" s="430" t="s">
        <v>34</v>
      </c>
      <c r="B46" s="431"/>
      <c r="C46" s="431"/>
      <c r="D46" s="432"/>
      <c r="E46" s="33"/>
      <c r="F46" s="433" t="s">
        <v>184</v>
      </c>
      <c r="G46" s="434"/>
      <c r="H46" s="435"/>
      <c r="I46" s="483">
        <v>1.5E-3</v>
      </c>
      <c r="J46" s="47"/>
      <c r="K46" s="33"/>
      <c r="L46" s="33"/>
      <c r="M46" s="34"/>
    </row>
    <row r="47" spans="1:16" ht="41.25" customHeight="1" thickBot="1">
      <c r="A47" s="192"/>
      <c r="B47" s="39" t="s">
        <v>35</v>
      </c>
      <c r="C47" s="40" t="s">
        <v>36</v>
      </c>
      <c r="D47" s="193" t="s">
        <v>27</v>
      </c>
      <c r="F47" s="436"/>
      <c r="G47" s="437"/>
      <c r="H47" s="438"/>
      <c r="I47" s="484"/>
      <c r="J47" s="195"/>
    </row>
    <row r="48" spans="1:16" ht="20.100000000000001" customHeight="1" thickBot="1">
      <c r="A48" s="194" t="s">
        <v>39</v>
      </c>
      <c r="B48" s="210">
        <v>97</v>
      </c>
      <c r="C48" s="43">
        <v>1236</v>
      </c>
      <c r="D48" s="44">
        <f>SUM(B48:C48)</f>
        <v>1333</v>
      </c>
      <c r="E48" s="13"/>
      <c r="F48" s="105"/>
      <c r="G48" s="196"/>
      <c r="H48" s="48"/>
      <c r="I48" s="197"/>
      <c r="J48" s="47"/>
    </row>
    <row r="49" spans="1:19" ht="20.100000000000001" customHeight="1" thickBot="1">
      <c r="E49" s="13"/>
      <c r="F49" s="433" t="s">
        <v>141</v>
      </c>
      <c r="G49" s="434"/>
      <c r="H49" s="435"/>
      <c r="I49" s="485">
        <v>0.22</v>
      </c>
      <c r="J49" s="198"/>
      <c r="K49" s="13"/>
      <c r="L49" s="13"/>
      <c r="M49" s="13"/>
      <c r="N49" s="13"/>
      <c r="O49" s="13"/>
      <c r="P49" s="13"/>
      <c r="Q49" s="13"/>
      <c r="R49" s="13"/>
      <c r="S49" s="13"/>
    </row>
    <row r="50" spans="1:19" ht="20.100000000000001" customHeight="1" thickBot="1">
      <c r="A50" s="430" t="s">
        <v>41</v>
      </c>
      <c r="B50" s="431"/>
      <c r="C50" s="431"/>
      <c r="D50" s="432"/>
      <c r="E50" s="13"/>
      <c r="F50" s="436"/>
      <c r="G50" s="437"/>
      <c r="H50" s="438"/>
      <c r="I50" s="486"/>
      <c r="J50" s="13"/>
      <c r="K50" s="198"/>
      <c r="L50" s="198"/>
      <c r="M50" s="198"/>
      <c r="N50" s="198"/>
      <c r="O50" s="198"/>
      <c r="P50" s="198"/>
      <c r="Q50" s="198"/>
      <c r="R50" s="13"/>
      <c r="S50" s="13"/>
    </row>
    <row r="51" spans="1:19" ht="20.100000000000001" customHeight="1" thickBot="1">
      <c r="A51" s="192"/>
      <c r="B51" s="46" t="s">
        <v>42</v>
      </c>
      <c r="C51" s="17" t="s">
        <v>43</v>
      </c>
      <c r="D51" s="193" t="s">
        <v>27</v>
      </c>
      <c r="F51" s="77"/>
      <c r="G51" s="171"/>
      <c r="H51" s="171"/>
      <c r="I51" s="171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ht="20.100000000000001" customHeight="1" thickBot="1">
      <c r="A52" s="194" t="s">
        <v>44</v>
      </c>
      <c r="B52" s="210">
        <v>1325</v>
      </c>
      <c r="C52" s="43">
        <v>247</v>
      </c>
      <c r="D52" s="44">
        <f>SUM(B52:C52)</f>
        <v>1572</v>
      </c>
      <c r="F52" s="105"/>
      <c r="G52" s="196"/>
      <c r="H52" s="48"/>
      <c r="I52" s="197"/>
      <c r="K52" s="13"/>
      <c r="L52" s="13"/>
      <c r="M52" s="13"/>
      <c r="N52" s="13"/>
      <c r="O52" s="13"/>
      <c r="P52" s="13"/>
      <c r="Q52" s="13"/>
      <c r="R52" s="13"/>
      <c r="S52" s="13"/>
    </row>
    <row r="53" spans="1:19" ht="20.100000000000001" customHeight="1">
      <c r="H53" s="448"/>
      <c r="I53" s="448"/>
    </row>
    <row r="54" spans="1:19">
      <c r="I54" s="48"/>
    </row>
    <row r="55" spans="1:19">
      <c r="E55" s="47"/>
    </row>
    <row r="56" spans="1:19">
      <c r="E56" s="47"/>
    </row>
    <row r="57" spans="1:19">
      <c r="E57" s="2"/>
    </row>
    <row r="60" spans="1:19">
      <c r="F60" s="47"/>
      <c r="G60" s="47"/>
    </row>
    <row r="61" spans="1:19" ht="15.75">
      <c r="F61" s="153"/>
    </row>
    <row r="62" spans="1:19" ht="15.75">
      <c r="E62" s="153"/>
      <c r="F62" s="33"/>
    </row>
    <row r="63" spans="1:19">
      <c r="E63" s="48"/>
      <c r="F63" s="47"/>
    </row>
    <row r="64" spans="1:19">
      <c r="E64" s="47"/>
    </row>
  </sheetData>
  <sheetProtection selectLockedCells="1" selectUnlockedCells="1"/>
  <mergeCells count="33">
    <mergeCell ref="B41:C41"/>
    <mergeCell ref="F41:G41"/>
    <mergeCell ref="B37:C37"/>
    <mergeCell ref="B38:C38"/>
    <mergeCell ref="B35:C35"/>
    <mergeCell ref="F39:G39"/>
    <mergeCell ref="B40:C40"/>
    <mergeCell ref="F40:G40"/>
    <mergeCell ref="B30:C30"/>
    <mergeCell ref="B31:C31"/>
    <mergeCell ref="B32:C32"/>
    <mergeCell ref="B33:C33"/>
    <mergeCell ref="B34:C34"/>
    <mergeCell ref="A7:I7"/>
    <mergeCell ref="A11:I11"/>
    <mergeCell ref="A28:C28"/>
    <mergeCell ref="B29:C29"/>
    <mergeCell ref="F28:I28"/>
    <mergeCell ref="J28:J29"/>
    <mergeCell ref="F31:I31"/>
    <mergeCell ref="J32:J34"/>
    <mergeCell ref="F37:J37"/>
    <mergeCell ref="F38:G38"/>
    <mergeCell ref="F42:G42"/>
    <mergeCell ref="F43:G43"/>
    <mergeCell ref="F44:G44"/>
    <mergeCell ref="A46:D46"/>
    <mergeCell ref="F46:H47"/>
    <mergeCell ref="I46:I47"/>
    <mergeCell ref="F49:H50"/>
    <mergeCell ref="I49:I50"/>
    <mergeCell ref="A50:D50"/>
    <mergeCell ref="H53:I53"/>
  </mergeCells>
  <printOptions horizontalCentered="1"/>
  <pageMargins left="0.51181102362204722" right="0.51181102362204722" top="0.78740157480314965" bottom="0.19685039370078741" header="0.51181102362204722" footer="0.15748031496062992"/>
  <pageSetup paperSize="9" scale="48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4"/>
  <sheetViews>
    <sheetView view="pageBreakPreview" zoomScaleSheetLayoutView="100" workbookViewId="0">
      <selection activeCell="D35" sqref="D35"/>
    </sheetView>
  </sheetViews>
  <sheetFormatPr defaultRowHeight="12.75"/>
  <cols>
    <col min="1" max="1" width="44.7109375" style="128" customWidth="1"/>
    <col min="2" max="2" width="10.28515625" style="128" bestFit="1" customWidth="1"/>
    <col min="3" max="3" width="9.140625" style="128"/>
    <col min="4" max="4" width="10.28515625" style="128" bestFit="1" customWidth="1"/>
    <col min="5" max="5" width="9.140625" style="128"/>
    <col min="6" max="6" width="11.28515625" style="128" bestFit="1" customWidth="1"/>
    <col min="7" max="9" width="9.140625" style="128"/>
    <col min="10" max="10" width="10.28515625" style="128" bestFit="1" customWidth="1"/>
    <col min="11" max="12" width="9.140625" style="128"/>
    <col min="13" max="13" width="9.140625" style="141"/>
    <col min="14" max="256" width="9.140625" style="128"/>
    <col min="257" max="257" width="44.7109375" style="128" customWidth="1"/>
    <col min="258" max="258" width="10.28515625" style="128" bestFit="1" customWidth="1"/>
    <col min="259" max="259" width="9.140625" style="128"/>
    <col min="260" max="260" width="10.28515625" style="128" bestFit="1" customWidth="1"/>
    <col min="261" max="261" width="9.140625" style="128"/>
    <col min="262" max="262" width="11.28515625" style="128" bestFit="1" customWidth="1"/>
    <col min="263" max="265" width="9.140625" style="128"/>
    <col min="266" max="266" width="10.28515625" style="128" bestFit="1" customWidth="1"/>
    <col min="267" max="512" width="9.140625" style="128"/>
    <col min="513" max="513" width="44.7109375" style="128" customWidth="1"/>
    <col min="514" max="514" width="10.28515625" style="128" bestFit="1" customWidth="1"/>
    <col min="515" max="515" width="9.140625" style="128"/>
    <col min="516" max="516" width="10.28515625" style="128" bestFit="1" customWidth="1"/>
    <col min="517" max="517" width="9.140625" style="128"/>
    <col min="518" max="518" width="11.28515625" style="128" bestFit="1" customWidth="1"/>
    <col min="519" max="521" width="9.140625" style="128"/>
    <col min="522" max="522" width="10.28515625" style="128" bestFit="1" customWidth="1"/>
    <col min="523" max="768" width="9.140625" style="128"/>
    <col min="769" max="769" width="44.7109375" style="128" customWidth="1"/>
    <col min="770" max="770" width="10.28515625" style="128" bestFit="1" customWidth="1"/>
    <col min="771" max="771" width="9.140625" style="128"/>
    <col min="772" max="772" width="10.28515625" style="128" bestFit="1" customWidth="1"/>
    <col min="773" max="773" width="9.140625" style="128"/>
    <col min="774" max="774" width="11.28515625" style="128" bestFit="1" customWidth="1"/>
    <col min="775" max="777" width="9.140625" style="128"/>
    <col min="778" max="778" width="10.28515625" style="128" bestFit="1" customWidth="1"/>
    <col min="779" max="1024" width="9.140625" style="128"/>
    <col min="1025" max="1025" width="44.7109375" style="128" customWidth="1"/>
    <col min="1026" max="1026" width="10.28515625" style="128" bestFit="1" customWidth="1"/>
    <col min="1027" max="1027" width="9.140625" style="128"/>
    <col min="1028" max="1028" width="10.28515625" style="128" bestFit="1" customWidth="1"/>
    <col min="1029" max="1029" width="9.140625" style="128"/>
    <col min="1030" max="1030" width="11.28515625" style="128" bestFit="1" customWidth="1"/>
    <col min="1031" max="1033" width="9.140625" style="128"/>
    <col min="1034" max="1034" width="10.28515625" style="128" bestFit="1" customWidth="1"/>
    <col min="1035" max="1280" width="9.140625" style="128"/>
    <col min="1281" max="1281" width="44.7109375" style="128" customWidth="1"/>
    <col min="1282" max="1282" width="10.28515625" style="128" bestFit="1" customWidth="1"/>
    <col min="1283" max="1283" width="9.140625" style="128"/>
    <col min="1284" max="1284" width="10.28515625" style="128" bestFit="1" customWidth="1"/>
    <col min="1285" max="1285" width="9.140625" style="128"/>
    <col min="1286" max="1286" width="11.28515625" style="128" bestFit="1" customWidth="1"/>
    <col min="1287" max="1289" width="9.140625" style="128"/>
    <col min="1290" max="1290" width="10.28515625" style="128" bestFit="1" customWidth="1"/>
    <col min="1291" max="1536" width="9.140625" style="128"/>
    <col min="1537" max="1537" width="44.7109375" style="128" customWidth="1"/>
    <col min="1538" max="1538" width="10.28515625" style="128" bestFit="1" customWidth="1"/>
    <col min="1539" max="1539" width="9.140625" style="128"/>
    <col min="1540" max="1540" width="10.28515625" style="128" bestFit="1" customWidth="1"/>
    <col min="1541" max="1541" width="9.140625" style="128"/>
    <col min="1542" max="1542" width="11.28515625" style="128" bestFit="1" customWidth="1"/>
    <col min="1543" max="1545" width="9.140625" style="128"/>
    <col min="1546" max="1546" width="10.28515625" style="128" bestFit="1" customWidth="1"/>
    <col min="1547" max="1792" width="9.140625" style="128"/>
    <col min="1793" max="1793" width="44.7109375" style="128" customWidth="1"/>
    <col min="1794" max="1794" width="10.28515625" style="128" bestFit="1" customWidth="1"/>
    <col min="1795" max="1795" width="9.140625" style="128"/>
    <col min="1796" max="1796" width="10.28515625" style="128" bestFit="1" customWidth="1"/>
    <col min="1797" max="1797" width="9.140625" style="128"/>
    <col min="1798" max="1798" width="11.28515625" style="128" bestFit="1" customWidth="1"/>
    <col min="1799" max="1801" width="9.140625" style="128"/>
    <col min="1802" max="1802" width="10.28515625" style="128" bestFit="1" customWidth="1"/>
    <col min="1803" max="2048" width="9.140625" style="128"/>
    <col min="2049" max="2049" width="44.7109375" style="128" customWidth="1"/>
    <col min="2050" max="2050" width="10.28515625" style="128" bestFit="1" customWidth="1"/>
    <col min="2051" max="2051" width="9.140625" style="128"/>
    <col min="2052" max="2052" width="10.28515625" style="128" bestFit="1" customWidth="1"/>
    <col min="2053" max="2053" width="9.140625" style="128"/>
    <col min="2054" max="2054" width="11.28515625" style="128" bestFit="1" customWidth="1"/>
    <col min="2055" max="2057" width="9.140625" style="128"/>
    <col min="2058" max="2058" width="10.28515625" style="128" bestFit="1" customWidth="1"/>
    <col min="2059" max="2304" width="9.140625" style="128"/>
    <col min="2305" max="2305" width="44.7109375" style="128" customWidth="1"/>
    <col min="2306" max="2306" width="10.28515625" style="128" bestFit="1" customWidth="1"/>
    <col min="2307" max="2307" width="9.140625" style="128"/>
    <col min="2308" max="2308" width="10.28515625" style="128" bestFit="1" customWidth="1"/>
    <col min="2309" max="2309" width="9.140625" style="128"/>
    <col min="2310" max="2310" width="11.28515625" style="128" bestFit="1" customWidth="1"/>
    <col min="2311" max="2313" width="9.140625" style="128"/>
    <col min="2314" max="2314" width="10.28515625" style="128" bestFit="1" customWidth="1"/>
    <col min="2315" max="2560" width="9.140625" style="128"/>
    <col min="2561" max="2561" width="44.7109375" style="128" customWidth="1"/>
    <col min="2562" max="2562" width="10.28515625" style="128" bestFit="1" customWidth="1"/>
    <col min="2563" max="2563" width="9.140625" style="128"/>
    <col min="2564" max="2564" width="10.28515625" style="128" bestFit="1" customWidth="1"/>
    <col min="2565" max="2565" width="9.140625" style="128"/>
    <col min="2566" max="2566" width="11.28515625" style="128" bestFit="1" customWidth="1"/>
    <col min="2567" max="2569" width="9.140625" style="128"/>
    <col min="2570" max="2570" width="10.28515625" style="128" bestFit="1" customWidth="1"/>
    <col min="2571" max="2816" width="9.140625" style="128"/>
    <col min="2817" max="2817" width="44.7109375" style="128" customWidth="1"/>
    <col min="2818" max="2818" width="10.28515625" style="128" bestFit="1" customWidth="1"/>
    <col min="2819" max="2819" width="9.140625" style="128"/>
    <col min="2820" max="2820" width="10.28515625" style="128" bestFit="1" customWidth="1"/>
    <col min="2821" max="2821" width="9.140625" style="128"/>
    <col min="2822" max="2822" width="11.28515625" style="128" bestFit="1" customWidth="1"/>
    <col min="2823" max="2825" width="9.140625" style="128"/>
    <col min="2826" max="2826" width="10.28515625" style="128" bestFit="1" customWidth="1"/>
    <col min="2827" max="3072" width="9.140625" style="128"/>
    <col min="3073" max="3073" width="44.7109375" style="128" customWidth="1"/>
    <col min="3074" max="3074" width="10.28515625" style="128" bestFit="1" customWidth="1"/>
    <col min="3075" max="3075" width="9.140625" style="128"/>
    <col min="3076" max="3076" width="10.28515625" style="128" bestFit="1" customWidth="1"/>
    <col min="3077" max="3077" width="9.140625" style="128"/>
    <col min="3078" max="3078" width="11.28515625" style="128" bestFit="1" customWidth="1"/>
    <col min="3079" max="3081" width="9.140625" style="128"/>
    <col min="3082" max="3082" width="10.28515625" style="128" bestFit="1" customWidth="1"/>
    <col min="3083" max="3328" width="9.140625" style="128"/>
    <col min="3329" max="3329" width="44.7109375" style="128" customWidth="1"/>
    <col min="3330" max="3330" width="10.28515625" style="128" bestFit="1" customWidth="1"/>
    <col min="3331" max="3331" width="9.140625" style="128"/>
    <col min="3332" max="3332" width="10.28515625" style="128" bestFit="1" customWidth="1"/>
    <col min="3333" max="3333" width="9.140625" style="128"/>
    <col min="3334" max="3334" width="11.28515625" style="128" bestFit="1" customWidth="1"/>
    <col min="3335" max="3337" width="9.140625" style="128"/>
    <col min="3338" max="3338" width="10.28515625" style="128" bestFit="1" customWidth="1"/>
    <col min="3339" max="3584" width="9.140625" style="128"/>
    <col min="3585" max="3585" width="44.7109375" style="128" customWidth="1"/>
    <col min="3586" max="3586" width="10.28515625" style="128" bestFit="1" customWidth="1"/>
    <col min="3587" max="3587" width="9.140625" style="128"/>
    <col min="3588" max="3588" width="10.28515625" style="128" bestFit="1" customWidth="1"/>
    <col min="3589" max="3589" width="9.140625" style="128"/>
    <col min="3590" max="3590" width="11.28515625" style="128" bestFit="1" customWidth="1"/>
    <col min="3591" max="3593" width="9.140625" style="128"/>
    <col min="3594" max="3594" width="10.28515625" style="128" bestFit="1" customWidth="1"/>
    <col min="3595" max="3840" width="9.140625" style="128"/>
    <col min="3841" max="3841" width="44.7109375" style="128" customWidth="1"/>
    <col min="3842" max="3842" width="10.28515625" style="128" bestFit="1" customWidth="1"/>
    <col min="3843" max="3843" width="9.140625" style="128"/>
    <col min="3844" max="3844" width="10.28515625" style="128" bestFit="1" customWidth="1"/>
    <col min="3845" max="3845" width="9.140625" style="128"/>
    <col min="3846" max="3846" width="11.28515625" style="128" bestFit="1" customWidth="1"/>
    <col min="3847" max="3849" width="9.140625" style="128"/>
    <col min="3850" max="3850" width="10.28515625" style="128" bestFit="1" customWidth="1"/>
    <col min="3851" max="4096" width="9.140625" style="128"/>
    <col min="4097" max="4097" width="44.7109375" style="128" customWidth="1"/>
    <col min="4098" max="4098" width="10.28515625" style="128" bestFit="1" customWidth="1"/>
    <col min="4099" max="4099" width="9.140625" style="128"/>
    <col min="4100" max="4100" width="10.28515625" style="128" bestFit="1" customWidth="1"/>
    <col min="4101" max="4101" width="9.140625" style="128"/>
    <col min="4102" max="4102" width="11.28515625" style="128" bestFit="1" customWidth="1"/>
    <col min="4103" max="4105" width="9.140625" style="128"/>
    <col min="4106" max="4106" width="10.28515625" style="128" bestFit="1" customWidth="1"/>
    <col min="4107" max="4352" width="9.140625" style="128"/>
    <col min="4353" max="4353" width="44.7109375" style="128" customWidth="1"/>
    <col min="4354" max="4354" width="10.28515625" style="128" bestFit="1" customWidth="1"/>
    <col min="4355" max="4355" width="9.140625" style="128"/>
    <col min="4356" max="4356" width="10.28515625" style="128" bestFit="1" customWidth="1"/>
    <col min="4357" max="4357" width="9.140625" style="128"/>
    <col min="4358" max="4358" width="11.28515625" style="128" bestFit="1" customWidth="1"/>
    <col min="4359" max="4361" width="9.140625" style="128"/>
    <col min="4362" max="4362" width="10.28515625" style="128" bestFit="1" customWidth="1"/>
    <col min="4363" max="4608" width="9.140625" style="128"/>
    <col min="4609" max="4609" width="44.7109375" style="128" customWidth="1"/>
    <col min="4610" max="4610" width="10.28515625" style="128" bestFit="1" customWidth="1"/>
    <col min="4611" max="4611" width="9.140625" style="128"/>
    <col min="4612" max="4612" width="10.28515625" style="128" bestFit="1" customWidth="1"/>
    <col min="4613" max="4613" width="9.140625" style="128"/>
    <col min="4614" max="4614" width="11.28515625" style="128" bestFit="1" customWidth="1"/>
    <col min="4615" max="4617" width="9.140625" style="128"/>
    <col min="4618" max="4618" width="10.28515625" style="128" bestFit="1" customWidth="1"/>
    <col min="4619" max="4864" width="9.140625" style="128"/>
    <col min="4865" max="4865" width="44.7109375" style="128" customWidth="1"/>
    <col min="4866" max="4866" width="10.28515625" style="128" bestFit="1" customWidth="1"/>
    <col min="4867" max="4867" width="9.140625" style="128"/>
    <col min="4868" max="4868" width="10.28515625" style="128" bestFit="1" customWidth="1"/>
    <col min="4869" max="4869" width="9.140625" style="128"/>
    <col min="4870" max="4870" width="11.28515625" style="128" bestFit="1" customWidth="1"/>
    <col min="4871" max="4873" width="9.140625" style="128"/>
    <col min="4874" max="4874" width="10.28515625" style="128" bestFit="1" customWidth="1"/>
    <col min="4875" max="5120" width="9.140625" style="128"/>
    <col min="5121" max="5121" width="44.7109375" style="128" customWidth="1"/>
    <col min="5122" max="5122" width="10.28515625" style="128" bestFit="1" customWidth="1"/>
    <col min="5123" max="5123" width="9.140625" style="128"/>
    <col min="5124" max="5124" width="10.28515625" style="128" bestFit="1" customWidth="1"/>
    <col min="5125" max="5125" width="9.140625" style="128"/>
    <col min="5126" max="5126" width="11.28515625" style="128" bestFit="1" customWidth="1"/>
    <col min="5127" max="5129" width="9.140625" style="128"/>
    <col min="5130" max="5130" width="10.28515625" style="128" bestFit="1" customWidth="1"/>
    <col min="5131" max="5376" width="9.140625" style="128"/>
    <col min="5377" max="5377" width="44.7109375" style="128" customWidth="1"/>
    <col min="5378" max="5378" width="10.28515625" style="128" bestFit="1" customWidth="1"/>
    <col min="5379" max="5379" width="9.140625" style="128"/>
    <col min="5380" max="5380" width="10.28515625" style="128" bestFit="1" customWidth="1"/>
    <col min="5381" max="5381" width="9.140625" style="128"/>
    <col min="5382" max="5382" width="11.28515625" style="128" bestFit="1" customWidth="1"/>
    <col min="5383" max="5385" width="9.140625" style="128"/>
    <col min="5386" max="5386" width="10.28515625" style="128" bestFit="1" customWidth="1"/>
    <col min="5387" max="5632" width="9.140625" style="128"/>
    <col min="5633" max="5633" width="44.7109375" style="128" customWidth="1"/>
    <col min="5634" max="5634" width="10.28515625" style="128" bestFit="1" customWidth="1"/>
    <col min="5635" max="5635" width="9.140625" style="128"/>
    <col min="5636" max="5636" width="10.28515625" style="128" bestFit="1" customWidth="1"/>
    <col min="5637" max="5637" width="9.140625" style="128"/>
    <col min="5638" max="5638" width="11.28515625" style="128" bestFit="1" customWidth="1"/>
    <col min="5639" max="5641" width="9.140625" style="128"/>
    <col min="5642" max="5642" width="10.28515625" style="128" bestFit="1" customWidth="1"/>
    <col min="5643" max="5888" width="9.140625" style="128"/>
    <col min="5889" max="5889" width="44.7109375" style="128" customWidth="1"/>
    <col min="5890" max="5890" width="10.28515625" style="128" bestFit="1" customWidth="1"/>
    <col min="5891" max="5891" width="9.140625" style="128"/>
    <col min="5892" max="5892" width="10.28515625" style="128" bestFit="1" customWidth="1"/>
    <col min="5893" max="5893" width="9.140625" style="128"/>
    <col min="5894" max="5894" width="11.28515625" style="128" bestFit="1" customWidth="1"/>
    <col min="5895" max="5897" width="9.140625" style="128"/>
    <col min="5898" max="5898" width="10.28515625" style="128" bestFit="1" customWidth="1"/>
    <col min="5899" max="6144" width="9.140625" style="128"/>
    <col min="6145" max="6145" width="44.7109375" style="128" customWidth="1"/>
    <col min="6146" max="6146" width="10.28515625" style="128" bestFit="1" customWidth="1"/>
    <col min="6147" max="6147" width="9.140625" style="128"/>
    <col min="6148" max="6148" width="10.28515625" style="128" bestFit="1" customWidth="1"/>
    <col min="6149" max="6149" width="9.140625" style="128"/>
    <col min="6150" max="6150" width="11.28515625" style="128" bestFit="1" customWidth="1"/>
    <col min="6151" max="6153" width="9.140625" style="128"/>
    <col min="6154" max="6154" width="10.28515625" style="128" bestFit="1" customWidth="1"/>
    <col min="6155" max="6400" width="9.140625" style="128"/>
    <col min="6401" max="6401" width="44.7109375" style="128" customWidth="1"/>
    <col min="6402" max="6402" width="10.28515625" style="128" bestFit="1" customWidth="1"/>
    <col min="6403" max="6403" width="9.140625" style="128"/>
    <col min="6404" max="6404" width="10.28515625" style="128" bestFit="1" customWidth="1"/>
    <col min="6405" max="6405" width="9.140625" style="128"/>
    <col min="6406" max="6406" width="11.28515625" style="128" bestFit="1" customWidth="1"/>
    <col min="6407" max="6409" width="9.140625" style="128"/>
    <col min="6410" max="6410" width="10.28515625" style="128" bestFit="1" customWidth="1"/>
    <col min="6411" max="6656" width="9.140625" style="128"/>
    <col min="6657" max="6657" width="44.7109375" style="128" customWidth="1"/>
    <col min="6658" max="6658" width="10.28515625" style="128" bestFit="1" customWidth="1"/>
    <col min="6659" max="6659" width="9.140625" style="128"/>
    <col min="6660" max="6660" width="10.28515625" style="128" bestFit="1" customWidth="1"/>
    <col min="6661" max="6661" width="9.140625" style="128"/>
    <col min="6662" max="6662" width="11.28515625" style="128" bestFit="1" customWidth="1"/>
    <col min="6663" max="6665" width="9.140625" style="128"/>
    <col min="6666" max="6666" width="10.28515625" style="128" bestFit="1" customWidth="1"/>
    <col min="6667" max="6912" width="9.140625" style="128"/>
    <col min="6913" max="6913" width="44.7109375" style="128" customWidth="1"/>
    <col min="6914" max="6914" width="10.28515625" style="128" bestFit="1" customWidth="1"/>
    <col min="6915" max="6915" width="9.140625" style="128"/>
    <col min="6916" max="6916" width="10.28515625" style="128" bestFit="1" customWidth="1"/>
    <col min="6917" max="6917" width="9.140625" style="128"/>
    <col min="6918" max="6918" width="11.28515625" style="128" bestFit="1" customWidth="1"/>
    <col min="6919" max="6921" width="9.140625" style="128"/>
    <col min="6922" max="6922" width="10.28515625" style="128" bestFit="1" customWidth="1"/>
    <col min="6923" max="7168" width="9.140625" style="128"/>
    <col min="7169" max="7169" width="44.7109375" style="128" customWidth="1"/>
    <col min="7170" max="7170" width="10.28515625" style="128" bestFit="1" customWidth="1"/>
    <col min="7171" max="7171" width="9.140625" style="128"/>
    <col min="7172" max="7172" width="10.28515625" style="128" bestFit="1" customWidth="1"/>
    <col min="7173" max="7173" width="9.140625" style="128"/>
    <col min="7174" max="7174" width="11.28515625" style="128" bestFit="1" customWidth="1"/>
    <col min="7175" max="7177" width="9.140625" style="128"/>
    <col min="7178" max="7178" width="10.28515625" style="128" bestFit="1" customWidth="1"/>
    <col min="7179" max="7424" width="9.140625" style="128"/>
    <col min="7425" max="7425" width="44.7109375" style="128" customWidth="1"/>
    <col min="7426" max="7426" width="10.28515625" style="128" bestFit="1" customWidth="1"/>
    <col min="7427" max="7427" width="9.140625" style="128"/>
    <col min="7428" max="7428" width="10.28515625" style="128" bestFit="1" customWidth="1"/>
    <col min="7429" max="7429" width="9.140625" style="128"/>
    <col min="7430" max="7430" width="11.28515625" style="128" bestFit="1" customWidth="1"/>
    <col min="7431" max="7433" width="9.140625" style="128"/>
    <col min="7434" max="7434" width="10.28515625" style="128" bestFit="1" customWidth="1"/>
    <col min="7435" max="7680" width="9.140625" style="128"/>
    <col min="7681" max="7681" width="44.7109375" style="128" customWidth="1"/>
    <col min="7682" max="7682" width="10.28515625" style="128" bestFit="1" customWidth="1"/>
    <col min="7683" max="7683" width="9.140625" style="128"/>
    <col min="7684" max="7684" width="10.28515625" style="128" bestFit="1" customWidth="1"/>
    <col min="7685" max="7685" width="9.140625" style="128"/>
    <col min="7686" max="7686" width="11.28515625" style="128" bestFit="1" customWidth="1"/>
    <col min="7687" max="7689" width="9.140625" style="128"/>
    <col min="7690" max="7690" width="10.28515625" style="128" bestFit="1" customWidth="1"/>
    <col min="7691" max="7936" width="9.140625" style="128"/>
    <col min="7937" max="7937" width="44.7109375" style="128" customWidth="1"/>
    <col min="7938" max="7938" width="10.28515625" style="128" bestFit="1" customWidth="1"/>
    <col min="7939" max="7939" width="9.140625" style="128"/>
    <col min="7940" max="7940" width="10.28515625" style="128" bestFit="1" customWidth="1"/>
    <col min="7941" max="7941" width="9.140625" style="128"/>
    <col min="7942" max="7942" width="11.28515625" style="128" bestFit="1" customWidth="1"/>
    <col min="7943" max="7945" width="9.140625" style="128"/>
    <col min="7946" max="7946" width="10.28515625" style="128" bestFit="1" customWidth="1"/>
    <col min="7947" max="8192" width="9.140625" style="128"/>
    <col min="8193" max="8193" width="44.7109375" style="128" customWidth="1"/>
    <col min="8194" max="8194" width="10.28515625" style="128" bestFit="1" customWidth="1"/>
    <col min="8195" max="8195" width="9.140625" style="128"/>
    <col min="8196" max="8196" width="10.28515625" style="128" bestFit="1" customWidth="1"/>
    <col min="8197" max="8197" width="9.140625" style="128"/>
    <col min="8198" max="8198" width="11.28515625" style="128" bestFit="1" customWidth="1"/>
    <col min="8199" max="8201" width="9.140625" style="128"/>
    <col min="8202" max="8202" width="10.28515625" style="128" bestFit="1" customWidth="1"/>
    <col min="8203" max="8448" width="9.140625" style="128"/>
    <col min="8449" max="8449" width="44.7109375" style="128" customWidth="1"/>
    <col min="8450" max="8450" width="10.28515625" style="128" bestFit="1" customWidth="1"/>
    <col min="8451" max="8451" width="9.140625" style="128"/>
    <col min="8452" max="8452" width="10.28515625" style="128" bestFit="1" customWidth="1"/>
    <col min="8453" max="8453" width="9.140625" style="128"/>
    <col min="8454" max="8454" width="11.28515625" style="128" bestFit="1" customWidth="1"/>
    <col min="8455" max="8457" width="9.140625" style="128"/>
    <col min="8458" max="8458" width="10.28515625" style="128" bestFit="1" customWidth="1"/>
    <col min="8459" max="8704" width="9.140625" style="128"/>
    <col min="8705" max="8705" width="44.7109375" style="128" customWidth="1"/>
    <col min="8706" max="8706" width="10.28515625" style="128" bestFit="1" customWidth="1"/>
    <col min="8707" max="8707" width="9.140625" style="128"/>
    <col min="8708" max="8708" width="10.28515625" style="128" bestFit="1" customWidth="1"/>
    <col min="8709" max="8709" width="9.140625" style="128"/>
    <col min="8710" max="8710" width="11.28515625" style="128" bestFit="1" customWidth="1"/>
    <col min="8711" max="8713" width="9.140625" style="128"/>
    <col min="8714" max="8714" width="10.28515625" style="128" bestFit="1" customWidth="1"/>
    <col min="8715" max="8960" width="9.140625" style="128"/>
    <col min="8961" max="8961" width="44.7109375" style="128" customWidth="1"/>
    <col min="8962" max="8962" width="10.28515625" style="128" bestFit="1" customWidth="1"/>
    <col min="8963" max="8963" width="9.140625" style="128"/>
    <col min="8964" max="8964" width="10.28515625" style="128" bestFit="1" customWidth="1"/>
    <col min="8965" max="8965" width="9.140625" style="128"/>
    <col min="8966" max="8966" width="11.28515625" style="128" bestFit="1" customWidth="1"/>
    <col min="8967" max="8969" width="9.140625" style="128"/>
    <col min="8970" max="8970" width="10.28515625" style="128" bestFit="1" customWidth="1"/>
    <col min="8971" max="9216" width="9.140625" style="128"/>
    <col min="9217" max="9217" width="44.7109375" style="128" customWidth="1"/>
    <col min="9218" max="9218" width="10.28515625" style="128" bestFit="1" customWidth="1"/>
    <col min="9219" max="9219" width="9.140625" style="128"/>
    <col min="9220" max="9220" width="10.28515625" style="128" bestFit="1" customWidth="1"/>
    <col min="9221" max="9221" width="9.140625" style="128"/>
    <col min="9222" max="9222" width="11.28515625" style="128" bestFit="1" customWidth="1"/>
    <col min="9223" max="9225" width="9.140625" style="128"/>
    <col min="9226" max="9226" width="10.28515625" style="128" bestFit="1" customWidth="1"/>
    <col min="9227" max="9472" width="9.140625" style="128"/>
    <col min="9473" max="9473" width="44.7109375" style="128" customWidth="1"/>
    <col min="9474" max="9474" width="10.28515625" style="128" bestFit="1" customWidth="1"/>
    <col min="9475" max="9475" width="9.140625" style="128"/>
    <col min="9476" max="9476" width="10.28515625" style="128" bestFit="1" customWidth="1"/>
    <col min="9477" max="9477" width="9.140625" style="128"/>
    <col min="9478" max="9478" width="11.28515625" style="128" bestFit="1" customWidth="1"/>
    <col min="9479" max="9481" width="9.140625" style="128"/>
    <col min="9482" max="9482" width="10.28515625" style="128" bestFit="1" customWidth="1"/>
    <col min="9483" max="9728" width="9.140625" style="128"/>
    <col min="9729" max="9729" width="44.7109375" style="128" customWidth="1"/>
    <col min="9730" max="9730" width="10.28515625" style="128" bestFit="1" customWidth="1"/>
    <col min="9731" max="9731" width="9.140625" style="128"/>
    <col min="9732" max="9732" width="10.28515625" style="128" bestFit="1" customWidth="1"/>
    <col min="9733" max="9733" width="9.140625" style="128"/>
    <col min="9734" max="9734" width="11.28515625" style="128" bestFit="1" customWidth="1"/>
    <col min="9735" max="9737" width="9.140625" style="128"/>
    <col min="9738" max="9738" width="10.28515625" style="128" bestFit="1" customWidth="1"/>
    <col min="9739" max="9984" width="9.140625" style="128"/>
    <col min="9985" max="9985" width="44.7109375" style="128" customWidth="1"/>
    <col min="9986" max="9986" width="10.28515625" style="128" bestFit="1" customWidth="1"/>
    <col min="9987" max="9987" width="9.140625" style="128"/>
    <col min="9988" max="9988" width="10.28515625" style="128" bestFit="1" customWidth="1"/>
    <col min="9989" max="9989" width="9.140625" style="128"/>
    <col min="9990" max="9990" width="11.28515625" style="128" bestFit="1" customWidth="1"/>
    <col min="9991" max="9993" width="9.140625" style="128"/>
    <col min="9994" max="9994" width="10.28515625" style="128" bestFit="1" customWidth="1"/>
    <col min="9995" max="10240" width="9.140625" style="128"/>
    <col min="10241" max="10241" width="44.7109375" style="128" customWidth="1"/>
    <col min="10242" max="10242" width="10.28515625" style="128" bestFit="1" customWidth="1"/>
    <col min="10243" max="10243" width="9.140625" style="128"/>
    <col min="10244" max="10244" width="10.28515625" style="128" bestFit="1" customWidth="1"/>
    <col min="10245" max="10245" width="9.140625" style="128"/>
    <col min="10246" max="10246" width="11.28515625" style="128" bestFit="1" customWidth="1"/>
    <col min="10247" max="10249" width="9.140625" style="128"/>
    <col min="10250" max="10250" width="10.28515625" style="128" bestFit="1" customWidth="1"/>
    <col min="10251" max="10496" width="9.140625" style="128"/>
    <col min="10497" max="10497" width="44.7109375" style="128" customWidth="1"/>
    <col min="10498" max="10498" width="10.28515625" style="128" bestFit="1" customWidth="1"/>
    <col min="10499" max="10499" width="9.140625" style="128"/>
    <col min="10500" max="10500" width="10.28515625" style="128" bestFit="1" customWidth="1"/>
    <col min="10501" max="10501" width="9.140625" style="128"/>
    <col min="10502" max="10502" width="11.28515625" style="128" bestFit="1" customWidth="1"/>
    <col min="10503" max="10505" width="9.140625" style="128"/>
    <col min="10506" max="10506" width="10.28515625" style="128" bestFit="1" customWidth="1"/>
    <col min="10507" max="10752" width="9.140625" style="128"/>
    <col min="10753" max="10753" width="44.7109375" style="128" customWidth="1"/>
    <col min="10754" max="10754" width="10.28515625" style="128" bestFit="1" customWidth="1"/>
    <col min="10755" max="10755" width="9.140625" style="128"/>
    <col min="10756" max="10756" width="10.28515625" style="128" bestFit="1" customWidth="1"/>
    <col min="10757" max="10757" width="9.140625" style="128"/>
    <col min="10758" max="10758" width="11.28515625" style="128" bestFit="1" customWidth="1"/>
    <col min="10759" max="10761" width="9.140625" style="128"/>
    <col min="10762" max="10762" width="10.28515625" style="128" bestFit="1" customWidth="1"/>
    <col min="10763" max="11008" width="9.140625" style="128"/>
    <col min="11009" max="11009" width="44.7109375" style="128" customWidth="1"/>
    <col min="11010" max="11010" width="10.28515625" style="128" bestFit="1" customWidth="1"/>
    <col min="11011" max="11011" width="9.140625" style="128"/>
    <col min="11012" max="11012" width="10.28515625" style="128" bestFit="1" customWidth="1"/>
    <col min="11013" max="11013" width="9.140625" style="128"/>
    <col min="11014" max="11014" width="11.28515625" style="128" bestFit="1" customWidth="1"/>
    <col min="11015" max="11017" width="9.140625" style="128"/>
    <col min="11018" max="11018" width="10.28515625" style="128" bestFit="1" customWidth="1"/>
    <col min="11019" max="11264" width="9.140625" style="128"/>
    <col min="11265" max="11265" width="44.7109375" style="128" customWidth="1"/>
    <col min="11266" max="11266" width="10.28515625" style="128" bestFit="1" customWidth="1"/>
    <col min="11267" max="11267" width="9.140625" style="128"/>
    <col min="11268" max="11268" width="10.28515625" style="128" bestFit="1" customWidth="1"/>
    <col min="11269" max="11269" width="9.140625" style="128"/>
    <col min="11270" max="11270" width="11.28515625" style="128" bestFit="1" customWidth="1"/>
    <col min="11271" max="11273" width="9.140625" style="128"/>
    <col min="11274" max="11274" width="10.28515625" style="128" bestFit="1" customWidth="1"/>
    <col min="11275" max="11520" width="9.140625" style="128"/>
    <col min="11521" max="11521" width="44.7109375" style="128" customWidth="1"/>
    <col min="11522" max="11522" width="10.28515625" style="128" bestFit="1" customWidth="1"/>
    <col min="11523" max="11523" width="9.140625" style="128"/>
    <col min="11524" max="11524" width="10.28515625" style="128" bestFit="1" customWidth="1"/>
    <col min="11525" max="11525" width="9.140625" style="128"/>
    <col min="11526" max="11526" width="11.28515625" style="128" bestFit="1" customWidth="1"/>
    <col min="11527" max="11529" width="9.140625" style="128"/>
    <col min="11530" max="11530" width="10.28515625" style="128" bestFit="1" customWidth="1"/>
    <col min="11531" max="11776" width="9.140625" style="128"/>
    <col min="11777" max="11777" width="44.7109375" style="128" customWidth="1"/>
    <col min="11778" max="11778" width="10.28515625" style="128" bestFit="1" customWidth="1"/>
    <col min="11779" max="11779" width="9.140625" style="128"/>
    <col min="11780" max="11780" width="10.28515625" style="128" bestFit="1" customWidth="1"/>
    <col min="11781" max="11781" width="9.140625" style="128"/>
    <col min="11782" max="11782" width="11.28515625" style="128" bestFit="1" customWidth="1"/>
    <col min="11783" max="11785" width="9.140625" style="128"/>
    <col min="11786" max="11786" width="10.28515625" style="128" bestFit="1" customWidth="1"/>
    <col min="11787" max="12032" width="9.140625" style="128"/>
    <col min="12033" max="12033" width="44.7109375" style="128" customWidth="1"/>
    <col min="12034" max="12034" width="10.28515625" style="128" bestFit="1" customWidth="1"/>
    <col min="12035" max="12035" width="9.140625" style="128"/>
    <col min="12036" max="12036" width="10.28515625" style="128" bestFit="1" customWidth="1"/>
    <col min="12037" max="12037" width="9.140625" style="128"/>
    <col min="12038" max="12038" width="11.28515625" style="128" bestFit="1" customWidth="1"/>
    <col min="12039" max="12041" width="9.140625" style="128"/>
    <col min="12042" max="12042" width="10.28515625" style="128" bestFit="1" customWidth="1"/>
    <col min="12043" max="12288" width="9.140625" style="128"/>
    <col min="12289" max="12289" width="44.7109375" style="128" customWidth="1"/>
    <col min="12290" max="12290" width="10.28515625" style="128" bestFit="1" customWidth="1"/>
    <col min="12291" max="12291" width="9.140625" style="128"/>
    <col min="12292" max="12292" width="10.28515625" style="128" bestFit="1" customWidth="1"/>
    <col min="12293" max="12293" width="9.140625" style="128"/>
    <col min="12294" max="12294" width="11.28515625" style="128" bestFit="1" customWidth="1"/>
    <col min="12295" max="12297" width="9.140625" style="128"/>
    <col min="12298" max="12298" width="10.28515625" style="128" bestFit="1" customWidth="1"/>
    <col min="12299" max="12544" width="9.140625" style="128"/>
    <col min="12545" max="12545" width="44.7109375" style="128" customWidth="1"/>
    <col min="12546" max="12546" width="10.28515625" style="128" bestFit="1" customWidth="1"/>
    <col min="12547" max="12547" width="9.140625" style="128"/>
    <col min="12548" max="12548" width="10.28515625" style="128" bestFit="1" customWidth="1"/>
    <col min="12549" max="12549" width="9.140625" style="128"/>
    <col min="12550" max="12550" width="11.28515625" style="128" bestFit="1" customWidth="1"/>
    <col min="12551" max="12553" width="9.140625" style="128"/>
    <col min="12554" max="12554" width="10.28515625" style="128" bestFit="1" customWidth="1"/>
    <col min="12555" max="12800" width="9.140625" style="128"/>
    <col min="12801" max="12801" width="44.7109375" style="128" customWidth="1"/>
    <col min="12802" max="12802" width="10.28515625" style="128" bestFit="1" customWidth="1"/>
    <col min="12803" max="12803" width="9.140625" style="128"/>
    <col min="12804" max="12804" width="10.28515625" style="128" bestFit="1" customWidth="1"/>
    <col min="12805" max="12805" width="9.140625" style="128"/>
    <col min="12806" max="12806" width="11.28515625" style="128" bestFit="1" customWidth="1"/>
    <col min="12807" max="12809" width="9.140625" style="128"/>
    <col min="12810" max="12810" width="10.28515625" style="128" bestFit="1" customWidth="1"/>
    <col min="12811" max="13056" width="9.140625" style="128"/>
    <col min="13057" max="13057" width="44.7109375" style="128" customWidth="1"/>
    <col min="13058" max="13058" width="10.28515625" style="128" bestFit="1" customWidth="1"/>
    <col min="13059" max="13059" width="9.140625" style="128"/>
    <col min="13060" max="13060" width="10.28515625" style="128" bestFit="1" customWidth="1"/>
    <col min="13061" max="13061" width="9.140625" style="128"/>
    <col min="13062" max="13062" width="11.28515625" style="128" bestFit="1" customWidth="1"/>
    <col min="13063" max="13065" width="9.140625" style="128"/>
    <col min="13066" max="13066" width="10.28515625" style="128" bestFit="1" customWidth="1"/>
    <col min="13067" max="13312" width="9.140625" style="128"/>
    <col min="13313" max="13313" width="44.7109375" style="128" customWidth="1"/>
    <col min="13314" max="13314" width="10.28515625" style="128" bestFit="1" customWidth="1"/>
    <col min="13315" max="13315" width="9.140625" style="128"/>
    <col min="13316" max="13316" width="10.28515625" style="128" bestFit="1" customWidth="1"/>
    <col min="13317" max="13317" width="9.140625" style="128"/>
    <col min="13318" max="13318" width="11.28515625" style="128" bestFit="1" customWidth="1"/>
    <col min="13319" max="13321" width="9.140625" style="128"/>
    <col min="13322" max="13322" width="10.28515625" style="128" bestFit="1" customWidth="1"/>
    <col min="13323" max="13568" width="9.140625" style="128"/>
    <col min="13569" max="13569" width="44.7109375" style="128" customWidth="1"/>
    <col min="13570" max="13570" width="10.28515625" style="128" bestFit="1" customWidth="1"/>
    <col min="13571" max="13571" width="9.140625" style="128"/>
    <col min="13572" max="13572" width="10.28515625" style="128" bestFit="1" customWidth="1"/>
    <col min="13573" max="13573" width="9.140625" style="128"/>
    <col min="13574" max="13574" width="11.28515625" style="128" bestFit="1" customWidth="1"/>
    <col min="13575" max="13577" width="9.140625" style="128"/>
    <col min="13578" max="13578" width="10.28515625" style="128" bestFit="1" customWidth="1"/>
    <col min="13579" max="13824" width="9.140625" style="128"/>
    <col min="13825" max="13825" width="44.7109375" style="128" customWidth="1"/>
    <col min="13826" max="13826" width="10.28515625" style="128" bestFit="1" customWidth="1"/>
    <col min="13827" max="13827" width="9.140625" style="128"/>
    <col min="13828" max="13828" width="10.28515625" style="128" bestFit="1" customWidth="1"/>
    <col min="13829" max="13829" width="9.140625" style="128"/>
    <col min="13830" max="13830" width="11.28515625" style="128" bestFit="1" customWidth="1"/>
    <col min="13831" max="13833" width="9.140625" style="128"/>
    <col min="13834" max="13834" width="10.28515625" style="128" bestFit="1" customWidth="1"/>
    <col min="13835" max="14080" width="9.140625" style="128"/>
    <col min="14081" max="14081" width="44.7109375" style="128" customWidth="1"/>
    <col min="14082" max="14082" width="10.28515625" style="128" bestFit="1" customWidth="1"/>
    <col min="14083" max="14083" width="9.140625" style="128"/>
    <col min="14084" max="14084" width="10.28515625" style="128" bestFit="1" customWidth="1"/>
    <col min="14085" max="14085" width="9.140625" style="128"/>
    <col min="14086" max="14086" width="11.28515625" style="128" bestFit="1" customWidth="1"/>
    <col min="14087" max="14089" width="9.140625" style="128"/>
    <col min="14090" max="14090" width="10.28515625" style="128" bestFit="1" customWidth="1"/>
    <col min="14091" max="14336" width="9.140625" style="128"/>
    <col min="14337" max="14337" width="44.7109375" style="128" customWidth="1"/>
    <col min="14338" max="14338" width="10.28515625" style="128" bestFit="1" customWidth="1"/>
    <col min="14339" max="14339" width="9.140625" style="128"/>
    <col min="14340" max="14340" width="10.28515625" style="128" bestFit="1" customWidth="1"/>
    <col min="14341" max="14341" width="9.140625" style="128"/>
    <col min="14342" max="14342" width="11.28515625" style="128" bestFit="1" customWidth="1"/>
    <col min="14343" max="14345" width="9.140625" style="128"/>
    <col min="14346" max="14346" width="10.28515625" style="128" bestFit="1" customWidth="1"/>
    <col min="14347" max="14592" width="9.140625" style="128"/>
    <col min="14593" max="14593" width="44.7109375" style="128" customWidth="1"/>
    <col min="14594" max="14594" width="10.28515625" style="128" bestFit="1" customWidth="1"/>
    <col min="14595" max="14595" width="9.140625" style="128"/>
    <col min="14596" max="14596" width="10.28515625" style="128" bestFit="1" customWidth="1"/>
    <col min="14597" max="14597" width="9.140625" style="128"/>
    <col min="14598" max="14598" width="11.28515625" style="128" bestFit="1" customWidth="1"/>
    <col min="14599" max="14601" width="9.140625" style="128"/>
    <col min="14602" max="14602" width="10.28515625" style="128" bestFit="1" customWidth="1"/>
    <col min="14603" max="14848" width="9.140625" style="128"/>
    <col min="14849" max="14849" width="44.7109375" style="128" customWidth="1"/>
    <col min="14850" max="14850" width="10.28515625" style="128" bestFit="1" customWidth="1"/>
    <col min="14851" max="14851" width="9.140625" style="128"/>
    <col min="14852" max="14852" width="10.28515625" style="128" bestFit="1" customWidth="1"/>
    <col min="14853" max="14853" width="9.140625" style="128"/>
    <col min="14854" max="14854" width="11.28515625" style="128" bestFit="1" customWidth="1"/>
    <col min="14855" max="14857" width="9.140625" style="128"/>
    <col min="14858" max="14858" width="10.28515625" style="128" bestFit="1" customWidth="1"/>
    <col min="14859" max="15104" width="9.140625" style="128"/>
    <col min="15105" max="15105" width="44.7109375" style="128" customWidth="1"/>
    <col min="15106" max="15106" width="10.28515625" style="128" bestFit="1" customWidth="1"/>
    <col min="15107" max="15107" width="9.140625" style="128"/>
    <col min="15108" max="15108" width="10.28515625" style="128" bestFit="1" customWidth="1"/>
    <col min="15109" max="15109" width="9.140625" style="128"/>
    <col min="15110" max="15110" width="11.28515625" style="128" bestFit="1" customWidth="1"/>
    <col min="15111" max="15113" width="9.140625" style="128"/>
    <col min="15114" max="15114" width="10.28515625" style="128" bestFit="1" customWidth="1"/>
    <col min="15115" max="15360" width="9.140625" style="128"/>
    <col min="15361" max="15361" width="44.7109375" style="128" customWidth="1"/>
    <col min="15362" max="15362" width="10.28515625" style="128" bestFit="1" customWidth="1"/>
    <col min="15363" max="15363" width="9.140625" style="128"/>
    <col min="15364" max="15364" width="10.28515625" style="128" bestFit="1" customWidth="1"/>
    <col min="15365" max="15365" width="9.140625" style="128"/>
    <col min="15366" max="15366" width="11.28515625" style="128" bestFit="1" customWidth="1"/>
    <col min="15367" max="15369" width="9.140625" style="128"/>
    <col min="15370" max="15370" width="10.28515625" style="128" bestFit="1" customWidth="1"/>
    <col min="15371" max="15616" width="9.140625" style="128"/>
    <col min="15617" max="15617" width="44.7109375" style="128" customWidth="1"/>
    <col min="15618" max="15618" width="10.28515625" style="128" bestFit="1" customWidth="1"/>
    <col min="15619" max="15619" width="9.140625" style="128"/>
    <col min="15620" max="15620" width="10.28515625" style="128" bestFit="1" customWidth="1"/>
    <col min="15621" max="15621" width="9.140625" style="128"/>
    <col min="15622" max="15622" width="11.28515625" style="128" bestFit="1" customWidth="1"/>
    <col min="15623" max="15625" width="9.140625" style="128"/>
    <col min="15626" max="15626" width="10.28515625" style="128" bestFit="1" customWidth="1"/>
    <col min="15627" max="15872" width="9.140625" style="128"/>
    <col min="15873" max="15873" width="44.7109375" style="128" customWidth="1"/>
    <col min="15874" max="15874" width="10.28515625" style="128" bestFit="1" customWidth="1"/>
    <col min="15875" max="15875" width="9.140625" style="128"/>
    <col min="15876" max="15876" width="10.28515625" style="128" bestFit="1" customWidth="1"/>
    <col min="15877" max="15877" width="9.140625" style="128"/>
    <col min="15878" max="15878" width="11.28515625" style="128" bestFit="1" customWidth="1"/>
    <col min="15879" max="15881" width="9.140625" style="128"/>
    <col min="15882" max="15882" width="10.28515625" style="128" bestFit="1" customWidth="1"/>
    <col min="15883" max="16128" width="9.140625" style="128"/>
    <col min="16129" max="16129" width="44.7109375" style="128" customWidth="1"/>
    <col min="16130" max="16130" width="10.28515625" style="128" bestFit="1" customWidth="1"/>
    <col min="16131" max="16131" width="9.140625" style="128"/>
    <col min="16132" max="16132" width="10.28515625" style="128" bestFit="1" customWidth="1"/>
    <col min="16133" max="16133" width="9.140625" style="128"/>
    <col min="16134" max="16134" width="11.28515625" style="128" bestFit="1" customWidth="1"/>
    <col min="16135" max="16137" width="9.140625" style="128"/>
    <col min="16138" max="16138" width="10.28515625" style="128" bestFit="1" customWidth="1"/>
    <col min="16139" max="16384" width="9.140625" style="128"/>
  </cols>
  <sheetData>
    <row r="1" spans="1:14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</row>
    <row r="2" spans="1:14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7"/>
    </row>
    <row r="3" spans="1:14">
      <c r="A3" s="489"/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</row>
    <row r="4" spans="1:14">
      <c r="A4" s="490"/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</row>
    <row r="5" spans="1:14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7"/>
    </row>
    <row r="6" spans="1:14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</row>
    <row r="7" spans="1:14">
      <c r="A7" s="155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</row>
    <row r="8" spans="1:14" ht="13.5" thickBot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9"/>
    </row>
    <row r="9" spans="1:14" s="130" customFormat="1" ht="16.5" thickBot="1">
      <c r="A9" s="487" t="s">
        <v>136</v>
      </c>
      <c r="B9" s="488"/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150">
        <v>2016</v>
      </c>
    </row>
    <row r="10" spans="1:14" ht="15" customHeight="1">
      <c r="B10" s="132" t="s">
        <v>123</v>
      </c>
      <c r="C10" s="132" t="s">
        <v>124</v>
      </c>
      <c r="D10" s="132" t="s">
        <v>125</v>
      </c>
      <c r="E10" s="132" t="s">
        <v>126</v>
      </c>
      <c r="F10" s="132" t="s">
        <v>127</v>
      </c>
      <c r="G10" s="132" t="s">
        <v>128</v>
      </c>
      <c r="H10" s="132" t="s">
        <v>129</v>
      </c>
      <c r="I10" s="132" t="s">
        <v>130</v>
      </c>
      <c r="J10" s="132" t="s">
        <v>131</v>
      </c>
      <c r="K10" s="132" t="s">
        <v>132</v>
      </c>
      <c r="L10" s="132" t="s">
        <v>133</v>
      </c>
      <c r="M10" s="132" t="s">
        <v>134</v>
      </c>
    </row>
    <row r="11" spans="1:14" s="132" customFormat="1" ht="15" customHeight="1">
      <c r="A11" s="143" t="s">
        <v>137</v>
      </c>
      <c r="B11" s="135">
        <v>469</v>
      </c>
      <c r="C11" s="135">
        <v>447</v>
      </c>
      <c r="D11" s="135">
        <v>479</v>
      </c>
      <c r="E11" s="135"/>
      <c r="F11" s="135"/>
      <c r="G11" s="135"/>
      <c r="H11" s="135"/>
      <c r="I11" s="135"/>
      <c r="J11" s="135"/>
      <c r="K11" s="135"/>
      <c r="L11" s="135"/>
      <c r="M11" s="131"/>
    </row>
    <row r="12" spans="1:14" ht="15" customHeight="1">
      <c r="A12" s="143" t="s">
        <v>138</v>
      </c>
      <c r="B12" s="134">
        <v>236</v>
      </c>
      <c r="C12" s="134">
        <v>210</v>
      </c>
      <c r="D12" s="134">
        <v>200</v>
      </c>
      <c r="E12" s="134"/>
      <c r="F12" s="134"/>
      <c r="G12" s="134"/>
      <c r="H12" s="134"/>
      <c r="I12" s="134"/>
      <c r="J12" s="134"/>
      <c r="K12" s="134"/>
      <c r="L12" s="139"/>
      <c r="M12" s="134"/>
      <c r="N12" s="132"/>
    </row>
    <row r="13" spans="1:14" ht="15" customHeight="1">
      <c r="A13" s="211" t="s">
        <v>139</v>
      </c>
      <c r="B13" s="142">
        <f>SUM(B11:B12)</f>
        <v>705</v>
      </c>
      <c r="C13" s="142">
        <f>SUM(C11:C12)</f>
        <v>657</v>
      </c>
      <c r="D13" s="142">
        <f>SUM(D11:D12)</f>
        <v>679</v>
      </c>
      <c r="E13" s="142"/>
      <c r="F13" s="142"/>
      <c r="G13" s="142"/>
      <c r="H13" s="142"/>
      <c r="I13" s="142"/>
      <c r="J13" s="142"/>
      <c r="K13" s="142"/>
      <c r="L13" s="142"/>
      <c r="M13" s="134"/>
      <c r="N13" s="132"/>
    </row>
    <row r="14" spans="1:14" ht="15" customHeight="1">
      <c r="A14" s="491"/>
      <c r="B14" s="492"/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3"/>
    </row>
    <row r="15" spans="1:14" ht="15" customHeight="1">
      <c r="B15" s="132" t="s">
        <v>123</v>
      </c>
      <c r="C15" s="132" t="s">
        <v>124</v>
      </c>
      <c r="D15" s="132" t="s">
        <v>125</v>
      </c>
      <c r="E15" s="132" t="s">
        <v>126</v>
      </c>
      <c r="F15" s="132" t="s">
        <v>127</v>
      </c>
      <c r="G15" s="132" t="s">
        <v>128</v>
      </c>
      <c r="H15" s="132" t="s">
        <v>129</v>
      </c>
      <c r="I15" s="132" t="s">
        <v>130</v>
      </c>
      <c r="J15" s="132" t="s">
        <v>131</v>
      </c>
      <c r="K15" s="132" t="s">
        <v>132</v>
      </c>
      <c r="L15" s="132" t="s">
        <v>133</v>
      </c>
      <c r="M15" s="132" t="s">
        <v>134</v>
      </c>
    </row>
    <row r="16" spans="1:14" ht="15" customHeight="1">
      <c r="A16" s="143" t="s">
        <v>139</v>
      </c>
      <c r="B16" s="134">
        <f>B13</f>
        <v>705</v>
      </c>
      <c r="C16" s="148">
        <f>C13</f>
        <v>657</v>
      </c>
      <c r="D16" s="148">
        <f>D13</f>
        <v>679</v>
      </c>
      <c r="E16" s="134"/>
      <c r="F16" s="134"/>
      <c r="G16" s="134"/>
      <c r="H16" s="134"/>
      <c r="I16" s="134"/>
      <c r="J16" s="134"/>
      <c r="K16" s="134"/>
      <c r="L16" s="134"/>
      <c r="M16" s="134"/>
      <c r="N16" s="140"/>
    </row>
    <row r="17" spans="1:14" ht="15" customHeight="1">
      <c r="A17" s="133" t="s">
        <v>140</v>
      </c>
      <c r="B17" s="148">
        <v>2</v>
      </c>
      <c r="C17" s="148">
        <v>2</v>
      </c>
      <c r="D17" s="139">
        <v>1</v>
      </c>
      <c r="E17" s="134"/>
      <c r="F17" s="134"/>
      <c r="G17" s="134"/>
      <c r="H17" s="134"/>
      <c r="I17" s="139"/>
      <c r="J17" s="139"/>
      <c r="K17" s="139"/>
      <c r="L17" s="139"/>
      <c r="M17" s="134"/>
      <c r="N17" s="140"/>
    </row>
    <row r="18" spans="1:14" ht="15" customHeight="1">
      <c r="A18" s="211" t="s">
        <v>136</v>
      </c>
      <c r="B18" s="144">
        <f>(B17/B16)</f>
        <v>2.8368794326241137E-3</v>
      </c>
      <c r="C18" s="144">
        <f>(C17/C16)</f>
        <v>3.0441400304414001E-3</v>
      </c>
      <c r="D18" s="144">
        <f>(D17/D16)</f>
        <v>1.4727540500736377E-3</v>
      </c>
      <c r="E18" s="144"/>
      <c r="F18" s="144"/>
      <c r="G18" s="144"/>
      <c r="H18" s="144"/>
      <c r="I18" s="144"/>
      <c r="J18" s="144"/>
      <c r="K18" s="144"/>
      <c r="L18" s="144"/>
      <c r="M18" s="135"/>
      <c r="N18" s="212">
        <f>SUM(B18:M18)</f>
        <v>7.3537735131391519E-3</v>
      </c>
    </row>
    <row r="19" spans="1:14" ht="15" customHeight="1" thickBot="1">
      <c r="A19" s="494"/>
      <c r="B19" s="495"/>
      <c r="C19" s="495"/>
      <c r="D19" s="495"/>
      <c r="E19" s="495"/>
      <c r="F19" s="495"/>
      <c r="G19" s="495"/>
      <c r="H19" s="495"/>
      <c r="I19" s="495"/>
      <c r="J19" s="495"/>
      <c r="K19" s="495"/>
      <c r="L19" s="495"/>
      <c r="M19" s="496"/>
    </row>
    <row r="20" spans="1:14" s="130" customFormat="1" ht="16.5" thickBot="1">
      <c r="A20" s="487" t="s">
        <v>141</v>
      </c>
      <c r="B20" s="488"/>
      <c r="C20" s="488"/>
      <c r="D20" s="488"/>
      <c r="E20" s="488"/>
      <c r="F20" s="488"/>
      <c r="G20" s="488"/>
      <c r="H20" s="488"/>
      <c r="I20" s="488"/>
      <c r="J20" s="488"/>
      <c r="K20" s="488"/>
      <c r="L20" s="488"/>
      <c r="M20" s="150">
        <v>2016</v>
      </c>
    </row>
    <row r="21" spans="1:14" ht="15" customHeight="1">
      <c r="B21" s="132" t="s">
        <v>123</v>
      </c>
      <c r="C21" s="132" t="s">
        <v>124</v>
      </c>
      <c r="D21" s="132" t="s">
        <v>125</v>
      </c>
      <c r="E21" s="132" t="s">
        <v>126</v>
      </c>
      <c r="F21" s="132" t="s">
        <v>127</v>
      </c>
      <c r="G21" s="132" t="s">
        <v>128</v>
      </c>
      <c r="H21" s="132" t="s">
        <v>129</v>
      </c>
      <c r="I21" s="132" t="s">
        <v>130</v>
      </c>
      <c r="J21" s="132" t="s">
        <v>131</v>
      </c>
      <c r="K21" s="132" t="s">
        <v>132</v>
      </c>
      <c r="L21" s="132" t="s">
        <v>133</v>
      </c>
      <c r="M21" s="132" t="s">
        <v>134</v>
      </c>
    </row>
    <row r="22" spans="1:14" ht="15" customHeight="1">
      <c r="A22" s="138" t="s">
        <v>142</v>
      </c>
      <c r="B22" s="149">
        <v>185</v>
      </c>
      <c r="C22" s="145">
        <v>132</v>
      </c>
      <c r="D22" s="145">
        <v>149</v>
      </c>
      <c r="E22" s="145"/>
      <c r="F22" s="145"/>
      <c r="G22" s="145"/>
      <c r="H22" s="145"/>
      <c r="I22" s="145"/>
      <c r="J22" s="145"/>
      <c r="K22" s="145"/>
      <c r="L22" s="145"/>
      <c r="M22" s="136"/>
      <c r="N22" s="213"/>
    </row>
    <row r="23" spans="1:14" ht="15" customHeight="1">
      <c r="A23" s="138" t="s">
        <v>143</v>
      </c>
      <c r="B23" s="146">
        <f>B13</f>
        <v>705</v>
      </c>
      <c r="C23" s="146">
        <f>C13</f>
        <v>657</v>
      </c>
      <c r="D23" s="146">
        <f>D13</f>
        <v>679</v>
      </c>
      <c r="E23" s="146"/>
      <c r="F23" s="146"/>
      <c r="G23" s="146"/>
      <c r="H23" s="146"/>
      <c r="I23" s="146"/>
      <c r="J23" s="146"/>
      <c r="K23" s="146"/>
      <c r="L23" s="146"/>
      <c r="M23" s="137"/>
      <c r="N23" s="213"/>
    </row>
    <row r="24" spans="1:14" ht="15" customHeight="1">
      <c r="A24" s="211" t="s">
        <v>141</v>
      </c>
      <c r="B24" s="147">
        <f>B22/B23</f>
        <v>0.26241134751773049</v>
      </c>
      <c r="C24" s="147">
        <f>C22/C23</f>
        <v>0.20091324200913241</v>
      </c>
      <c r="D24" s="147">
        <f>D22/D23</f>
        <v>0.21944035346097202</v>
      </c>
      <c r="E24" s="147"/>
      <c r="F24" s="147"/>
      <c r="G24" s="147"/>
      <c r="H24" s="147"/>
      <c r="I24" s="147"/>
      <c r="J24" s="147"/>
      <c r="K24" s="147"/>
      <c r="L24" s="147"/>
      <c r="M24" s="135"/>
      <c r="N24" s="214">
        <f>SUM(B24:M24)</f>
        <v>0.68276494298783486</v>
      </c>
    </row>
  </sheetData>
  <mergeCells count="6">
    <mergeCell ref="A20:L20"/>
    <mergeCell ref="A3:M3"/>
    <mergeCell ref="A4:M4"/>
    <mergeCell ref="A9:L9"/>
    <mergeCell ref="A14:M14"/>
    <mergeCell ref="A19:M1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34"/>
  <sheetViews>
    <sheetView showGridLines="0" view="pageBreakPreview" topLeftCell="A13" zoomScale="71" zoomScaleSheetLayoutView="71" workbookViewId="0">
      <selection activeCell="E30" sqref="E30"/>
    </sheetView>
  </sheetViews>
  <sheetFormatPr defaultColWidth="28.140625" defaultRowHeight="15"/>
  <cols>
    <col min="1" max="1" width="42" style="1" customWidth="1"/>
    <col min="2" max="2" width="19.85546875" style="1" customWidth="1"/>
    <col min="3" max="3" width="4.140625" style="1" customWidth="1"/>
    <col min="4" max="4" width="37.7109375" style="1" customWidth="1"/>
    <col min="5" max="5" width="18.7109375" style="1" customWidth="1"/>
    <col min="6" max="6" width="5.140625" style="1" customWidth="1"/>
    <col min="7" max="7" width="34.140625" style="1" customWidth="1"/>
    <col min="8" max="8" width="13.28515625" style="1" bestFit="1" customWidth="1"/>
    <col min="9" max="9" width="5.140625" style="1" customWidth="1"/>
    <col min="10" max="10" width="27.85546875" style="1" customWidth="1"/>
    <col min="11" max="11" width="30.85546875" style="1" customWidth="1"/>
    <col min="12" max="16384" width="28.140625" style="1"/>
  </cols>
  <sheetData>
    <row r="1" spans="1:13" ht="20.100000000000001" customHeight="1">
      <c r="L1" s="56"/>
      <c r="M1" s="56"/>
    </row>
    <row r="2" spans="1:13" ht="20.100000000000001" customHeight="1">
      <c r="A2" s="499"/>
      <c r="B2" s="499"/>
      <c r="C2" s="499"/>
      <c r="D2" s="499"/>
      <c r="E2" s="499"/>
      <c r="F2" s="499"/>
      <c r="G2" s="499"/>
      <c r="H2" s="499"/>
      <c r="I2" s="499"/>
      <c r="J2" s="499"/>
      <c r="K2" s="499"/>
    </row>
    <row r="3" spans="1:13" ht="20.100000000000001" customHeight="1"/>
    <row r="4" spans="1:13" ht="20.100000000000001" customHeight="1"/>
    <row r="5" spans="1:13" ht="20.100000000000001" customHeight="1">
      <c r="A5" s="57"/>
      <c r="B5" s="499"/>
      <c r="C5" s="499"/>
      <c r="D5" s="499"/>
      <c r="E5" s="499"/>
      <c r="F5" s="499"/>
      <c r="G5" s="499"/>
      <c r="H5" s="499"/>
      <c r="I5" s="499"/>
      <c r="J5" s="499"/>
      <c r="K5" s="499"/>
    </row>
    <row r="6" spans="1:13" ht="20.100000000000001" customHeight="1">
      <c r="A6" s="57"/>
      <c r="B6" s="167"/>
      <c r="C6" s="167"/>
      <c r="D6" s="167"/>
      <c r="E6" s="167"/>
      <c r="F6" s="167"/>
      <c r="G6" s="167"/>
      <c r="H6" s="167"/>
      <c r="I6" s="167"/>
      <c r="J6" s="167"/>
      <c r="K6" s="167"/>
    </row>
    <row r="7" spans="1:13" ht="20.100000000000001" customHeight="1">
      <c r="A7" s="57"/>
      <c r="B7" s="167"/>
      <c r="C7" s="167"/>
      <c r="D7" s="167"/>
      <c r="E7" s="167"/>
      <c r="F7" s="167"/>
      <c r="G7" s="167"/>
      <c r="H7" s="167"/>
      <c r="I7" s="167"/>
      <c r="J7" s="167"/>
      <c r="K7" s="167"/>
    </row>
    <row r="8" spans="1:13" ht="20.100000000000001" customHeight="1">
      <c r="A8" s="57"/>
      <c r="B8" s="167"/>
      <c r="C8" s="167"/>
      <c r="D8" s="167"/>
      <c r="E8" s="167"/>
      <c r="F8" s="167"/>
      <c r="G8" s="167"/>
      <c r="H8" s="167"/>
      <c r="I8" s="167"/>
      <c r="J8" s="167"/>
      <c r="K8" s="167"/>
    </row>
    <row r="9" spans="1:13" ht="20.100000000000001" customHeight="1">
      <c r="A9" s="460" t="s">
        <v>0</v>
      </c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2"/>
      <c r="M9" s="2"/>
    </row>
    <row r="10" spans="1:13" s="4" customFormat="1" ht="20.100000000000001" customHeight="1">
      <c r="A10" s="58"/>
      <c r="B10" s="500"/>
      <c r="C10" s="500"/>
      <c r="D10" s="500"/>
      <c r="E10" s="500"/>
      <c r="F10" s="500"/>
      <c r="G10" s="500"/>
      <c r="H10" s="59"/>
      <c r="I10" s="59"/>
      <c r="J10" s="59"/>
      <c r="K10" s="59"/>
      <c r="L10" s="3"/>
      <c r="M10" s="3"/>
    </row>
    <row r="11" spans="1:13" s="4" customFormat="1" ht="20.100000000000001" customHeight="1">
      <c r="A11" s="60" t="s">
        <v>1</v>
      </c>
      <c r="B11" s="6" t="s">
        <v>175</v>
      </c>
      <c r="C11" s="7"/>
      <c r="D11" s="8"/>
      <c r="E11" s="9"/>
      <c r="F11" s="7"/>
      <c r="G11" s="7"/>
      <c r="H11" s="7"/>
      <c r="I11" s="10"/>
      <c r="J11" s="3"/>
      <c r="K11" s="3"/>
    </row>
    <row r="12" spans="1:13" ht="20.100000000000001" customHeight="1">
      <c r="A12" s="11" t="s">
        <v>2</v>
      </c>
      <c r="B12" s="12" t="s">
        <v>3</v>
      </c>
      <c r="D12" s="13"/>
      <c r="E12" s="13"/>
    </row>
    <row r="13" spans="1:13" ht="20.100000000000001" customHeight="1" thickBot="1">
      <c r="A13" s="11"/>
      <c r="B13" s="15"/>
      <c r="D13" s="13"/>
      <c r="E13" s="13"/>
    </row>
    <row r="14" spans="1:13" ht="20.100000000000001" customHeight="1" thickBot="1">
      <c r="A14" s="501" t="s">
        <v>53</v>
      </c>
      <c r="B14" s="501"/>
      <c r="C14" s="501"/>
      <c r="D14" s="501"/>
      <c r="E14" s="501"/>
      <c r="F14" s="501"/>
      <c r="G14" s="501"/>
      <c r="H14" s="501"/>
      <c r="I14" s="501"/>
      <c r="J14" s="501"/>
      <c r="K14" s="501"/>
      <c r="L14" s="14"/>
      <c r="M14" s="14"/>
    </row>
    <row r="15" spans="1:13" ht="20.100000000000001" customHeight="1" thickBot="1">
      <c r="A15" s="61"/>
      <c r="B15" s="61"/>
      <c r="C15" s="158"/>
      <c r="D15" s="62"/>
      <c r="E15" s="62"/>
      <c r="F15" s="158"/>
      <c r="G15" s="63"/>
      <c r="H15" s="38"/>
      <c r="I15" s="38"/>
      <c r="J15" s="64"/>
      <c r="K15" s="64"/>
    </row>
    <row r="16" spans="1:13" ht="20.100000000000001" customHeight="1" thickBot="1">
      <c r="A16" s="163" t="s">
        <v>54</v>
      </c>
      <c r="B16" s="215" t="s">
        <v>38</v>
      </c>
      <c r="C16" s="64"/>
      <c r="D16" s="163" t="s">
        <v>55</v>
      </c>
      <c r="E16" s="65" t="s">
        <v>38</v>
      </c>
      <c r="F16" s="64"/>
      <c r="G16" s="497" t="s">
        <v>56</v>
      </c>
      <c r="H16" s="498"/>
      <c r="J16" s="497" t="s">
        <v>187</v>
      </c>
      <c r="K16" s="498"/>
    </row>
    <row r="17" spans="1:11" ht="20.100000000000001" customHeight="1" thickBot="1">
      <c r="A17" s="66" t="s">
        <v>57</v>
      </c>
      <c r="B17" s="216">
        <v>109</v>
      </c>
      <c r="C17" s="67"/>
      <c r="D17" s="68"/>
      <c r="E17" s="72">
        <v>42381</v>
      </c>
      <c r="F17" s="69"/>
      <c r="G17" s="68"/>
      <c r="H17" s="217" t="s">
        <v>58</v>
      </c>
      <c r="I17" s="47"/>
      <c r="J17" s="68"/>
      <c r="K17" s="217" t="s">
        <v>58</v>
      </c>
    </row>
    <row r="18" spans="1:11" ht="20.100000000000001" customHeight="1" thickBot="1">
      <c r="A18" s="70" t="s">
        <v>188</v>
      </c>
      <c r="B18" s="157">
        <v>106</v>
      </c>
      <c r="C18" s="67"/>
      <c r="D18" s="71" t="s">
        <v>59</v>
      </c>
      <c r="E18" s="72">
        <v>42395</v>
      </c>
      <c r="F18" s="69"/>
      <c r="G18" s="71" t="s">
        <v>59</v>
      </c>
      <c r="H18" s="218">
        <v>42384</v>
      </c>
      <c r="I18" s="73"/>
      <c r="J18" s="71"/>
      <c r="K18" s="218">
        <v>42396</v>
      </c>
    </row>
    <row r="19" spans="1:11" ht="20.100000000000001" customHeight="1">
      <c r="A19" s="74" t="s">
        <v>189</v>
      </c>
      <c r="B19" s="64"/>
      <c r="C19" s="64"/>
      <c r="D19" s="62"/>
      <c r="E19" s="62"/>
      <c r="F19" s="38"/>
      <c r="G19" s="38"/>
      <c r="H19" s="38"/>
      <c r="I19" s="38"/>
      <c r="J19" s="38"/>
      <c r="K19" s="38"/>
    </row>
    <row r="20" spans="1:11" ht="20.100000000000001" customHeight="1" thickBot="1">
      <c r="A20" s="74"/>
      <c r="B20" s="64"/>
      <c r="C20" s="64"/>
      <c r="D20" s="62"/>
      <c r="E20" s="62"/>
      <c r="F20" s="38"/>
      <c r="G20" s="38"/>
      <c r="H20" s="38"/>
      <c r="I20" s="38"/>
      <c r="J20" s="38"/>
      <c r="K20" s="38"/>
    </row>
    <row r="21" spans="1:11" ht="20.100000000000001" customHeight="1" thickBot="1">
      <c r="A21" s="502" t="s">
        <v>190</v>
      </c>
      <c r="B21" s="503"/>
      <c r="C21" s="62"/>
      <c r="D21" s="163" t="s">
        <v>191</v>
      </c>
      <c r="E21" s="65" t="s">
        <v>38</v>
      </c>
      <c r="F21" s="38"/>
      <c r="G21" s="497" t="s">
        <v>192</v>
      </c>
      <c r="H21" s="498"/>
      <c r="I21" s="38"/>
      <c r="J21" s="163" t="s">
        <v>193</v>
      </c>
      <c r="K21" s="65" t="s">
        <v>38</v>
      </c>
    </row>
    <row r="22" spans="1:11" ht="20.100000000000001" customHeight="1" thickBot="1">
      <c r="A22" s="68"/>
      <c r="B22" s="217" t="s">
        <v>58</v>
      </c>
      <c r="C22" s="62"/>
      <c r="D22" s="68"/>
      <c r="E22" s="217" t="s">
        <v>58</v>
      </c>
      <c r="F22" s="38"/>
      <c r="G22" s="68"/>
      <c r="H22" s="217" t="s">
        <v>58</v>
      </c>
      <c r="I22" s="38"/>
      <c r="J22" s="68"/>
      <c r="K22" s="217" t="s">
        <v>58</v>
      </c>
    </row>
    <row r="23" spans="1:11" ht="20.100000000000001" customHeight="1" thickBot="1">
      <c r="A23" s="71" t="s">
        <v>59</v>
      </c>
      <c r="B23" s="218">
        <v>42397</v>
      </c>
      <c r="C23" s="62"/>
      <c r="D23" s="71" t="s">
        <v>59</v>
      </c>
      <c r="E23" s="72">
        <v>42383</v>
      </c>
      <c r="F23" s="38"/>
      <c r="G23" s="71" t="s">
        <v>59</v>
      </c>
      <c r="H23" s="218">
        <v>42412</v>
      </c>
      <c r="I23" s="38"/>
      <c r="J23" s="71" t="s">
        <v>59</v>
      </c>
      <c r="K23" s="72"/>
    </row>
    <row r="24" spans="1:11" ht="20.100000000000001" customHeight="1">
      <c r="A24" s="74"/>
      <c r="B24" s="64"/>
      <c r="C24" s="64"/>
      <c r="D24" s="62"/>
      <c r="E24" s="62"/>
      <c r="F24" s="38"/>
      <c r="G24" s="38"/>
      <c r="H24" s="38"/>
      <c r="I24" s="38"/>
      <c r="J24" s="38"/>
      <c r="K24" s="38"/>
    </row>
    <row r="25" spans="1:11" ht="20.100000000000001" customHeight="1" thickBot="1">
      <c r="A25" s="75"/>
      <c r="B25" s="75"/>
      <c r="C25" s="76"/>
      <c r="D25" s="62"/>
      <c r="E25" s="62"/>
      <c r="F25" s="77"/>
      <c r="H25" s="77"/>
      <c r="I25" s="77"/>
      <c r="J25" s="77"/>
      <c r="K25" s="77"/>
    </row>
    <row r="26" spans="1:11" ht="20.100000000000001" customHeight="1" thickBot="1">
      <c r="A26" s="501" t="s">
        <v>60</v>
      </c>
      <c r="B26" s="501"/>
      <c r="C26" s="501"/>
      <c r="D26" s="501"/>
      <c r="E26" s="501"/>
      <c r="F26" s="501"/>
      <c r="G26" s="501"/>
      <c r="H26" s="501"/>
      <c r="I26" s="501"/>
      <c r="J26" s="501"/>
      <c r="K26" s="501"/>
    </row>
    <row r="27" spans="1:11" ht="20.100000000000001" customHeight="1" thickBot="1">
      <c r="A27" s="78"/>
      <c r="B27" s="79"/>
      <c r="C27" s="64"/>
      <c r="D27" s="62"/>
      <c r="E27" s="62"/>
      <c r="F27" s="77"/>
      <c r="G27" s="77"/>
      <c r="H27" s="77"/>
      <c r="I27" s="77"/>
      <c r="J27" s="77"/>
      <c r="K27" s="77"/>
    </row>
    <row r="28" spans="1:11" ht="20.100000000000001" customHeight="1" thickBot="1">
      <c r="A28" s="163" t="s">
        <v>61</v>
      </c>
      <c r="B28" s="65" t="s">
        <v>38</v>
      </c>
      <c r="C28" s="64"/>
      <c r="D28" s="163" t="s">
        <v>62</v>
      </c>
      <c r="E28" s="65" t="s">
        <v>38</v>
      </c>
      <c r="F28" s="77"/>
      <c r="G28" s="502" t="s">
        <v>63</v>
      </c>
      <c r="H28" s="503"/>
      <c r="I28" s="77"/>
      <c r="J28" s="219" t="s">
        <v>194</v>
      </c>
      <c r="K28" s="65" t="s">
        <v>38</v>
      </c>
    </row>
    <row r="29" spans="1:11" ht="20.100000000000001" customHeight="1" thickBot="1">
      <c r="A29" s="68" t="s">
        <v>64</v>
      </c>
      <c r="B29" s="80">
        <v>47</v>
      </c>
      <c r="C29" s="81"/>
      <c r="D29" s="82" t="s">
        <v>65</v>
      </c>
      <c r="E29" s="80">
        <v>120</v>
      </c>
      <c r="F29" s="77"/>
      <c r="G29" s="83"/>
      <c r="H29" s="65" t="s">
        <v>38</v>
      </c>
      <c r="I29" s="77"/>
      <c r="J29" s="68" t="s">
        <v>195</v>
      </c>
      <c r="K29" s="80">
        <v>18</v>
      </c>
    </row>
    <row r="30" spans="1:11" ht="20.100000000000001" customHeight="1" thickBot="1">
      <c r="A30" s="68" t="s">
        <v>66</v>
      </c>
      <c r="B30" s="157">
        <v>23</v>
      </c>
      <c r="C30" s="81"/>
      <c r="D30" s="82" t="s">
        <v>67</v>
      </c>
      <c r="E30" s="157">
        <v>255</v>
      </c>
      <c r="F30" s="77"/>
      <c r="G30" s="70" t="s">
        <v>68</v>
      </c>
      <c r="H30" s="157">
        <v>131</v>
      </c>
      <c r="I30" s="77"/>
      <c r="J30" s="68" t="s">
        <v>196</v>
      </c>
      <c r="K30" s="80">
        <v>498</v>
      </c>
    </row>
    <row r="31" spans="1:11" ht="20.100000000000001" customHeight="1" thickBot="1">
      <c r="A31" s="70" t="s">
        <v>69</v>
      </c>
      <c r="B31" s="84">
        <v>1558</v>
      </c>
      <c r="C31" s="81"/>
      <c r="D31" s="220" t="s">
        <v>70</v>
      </c>
      <c r="E31" s="80">
        <f>SUM(E29:E30)</f>
        <v>375</v>
      </c>
      <c r="F31" s="77"/>
      <c r="I31" s="77"/>
      <c r="J31" s="221" t="s">
        <v>27</v>
      </c>
      <c r="K31" s="80">
        <f>SUM(K29:K30)</f>
        <v>516</v>
      </c>
    </row>
    <row r="32" spans="1:11" ht="20.100000000000001" customHeight="1" thickBot="1">
      <c r="A32" s="81"/>
      <c r="B32" s="64"/>
      <c r="C32" s="64"/>
      <c r="D32" s="85"/>
      <c r="E32" s="86"/>
      <c r="F32" s="77"/>
      <c r="I32" s="77"/>
      <c r="J32" s="87"/>
      <c r="K32" s="88"/>
    </row>
    <row r="33" spans="1:11" ht="20.100000000000001" customHeight="1" thickBot="1">
      <c r="A33" s="163" t="s">
        <v>71</v>
      </c>
      <c r="B33" s="65" t="s">
        <v>38</v>
      </c>
      <c r="C33" s="64"/>
      <c r="D33" s="89" t="s">
        <v>72</v>
      </c>
      <c r="E33" s="65" t="s">
        <v>38</v>
      </c>
      <c r="F33" s="90"/>
      <c r="G33" s="502" t="s">
        <v>73</v>
      </c>
      <c r="H33" s="503"/>
      <c r="I33" s="90"/>
      <c r="J33" s="87"/>
      <c r="K33" s="88"/>
    </row>
    <row r="34" spans="1:11" ht="20.100000000000001" customHeight="1" thickBot="1">
      <c r="A34" s="91" t="s">
        <v>74</v>
      </c>
      <c r="B34" s="80">
        <v>9</v>
      </c>
      <c r="C34" s="158"/>
      <c r="D34" s="92" t="s">
        <v>75</v>
      </c>
      <c r="E34" s="157">
        <v>16</v>
      </c>
      <c r="F34" s="93"/>
      <c r="G34" s="222"/>
      <c r="H34" s="65" t="s">
        <v>38</v>
      </c>
      <c r="I34" s="93"/>
      <c r="J34" s="87"/>
      <c r="K34" s="88"/>
    </row>
    <row r="35" spans="1:11" ht="20.100000000000001" customHeight="1" thickBot="1">
      <c r="A35" s="91" t="s">
        <v>76</v>
      </c>
      <c r="B35" s="157">
        <v>6</v>
      </c>
      <c r="C35" s="64"/>
      <c r="D35" s="68" t="s">
        <v>77</v>
      </c>
      <c r="E35" s="80">
        <v>3</v>
      </c>
      <c r="F35" s="94"/>
      <c r="G35" s="223"/>
      <c r="H35" s="80">
        <v>784</v>
      </c>
      <c r="I35" s="95"/>
      <c r="J35" s="87"/>
      <c r="K35" s="88"/>
    </row>
    <row r="36" spans="1:11" ht="20.100000000000001" customHeight="1" thickBot="1">
      <c r="A36" s="91" t="s">
        <v>78</v>
      </c>
      <c r="B36" s="80">
        <v>44</v>
      </c>
      <c r="C36" s="76"/>
      <c r="D36" s="504" t="s">
        <v>79</v>
      </c>
      <c r="E36" s="224"/>
      <c r="F36" s="225"/>
      <c r="H36" s="94"/>
      <c r="I36" s="94"/>
      <c r="J36" s="87"/>
      <c r="K36" s="88"/>
    </row>
    <row r="37" spans="1:11" ht="20.100000000000001" customHeight="1" thickBot="1">
      <c r="A37" s="91" t="s">
        <v>80</v>
      </c>
      <c r="B37" s="80">
        <v>8</v>
      </c>
      <c r="C37" s="76"/>
      <c r="D37" s="505"/>
      <c r="E37" s="226">
        <f>SUM(E34:E35)</f>
        <v>19</v>
      </c>
      <c r="F37" s="94"/>
      <c r="G37" s="94"/>
      <c r="H37" s="94"/>
      <c r="I37" s="94"/>
      <c r="J37" s="96"/>
      <c r="K37" s="88"/>
    </row>
    <row r="38" spans="1:11" ht="20.100000000000001" customHeight="1" thickBot="1">
      <c r="A38" s="91" t="s">
        <v>81</v>
      </c>
      <c r="B38" s="157">
        <v>5</v>
      </c>
      <c r="C38" s="76"/>
      <c r="D38" s="97" t="s">
        <v>82</v>
      </c>
      <c r="E38" s="38"/>
      <c r="F38" s="94"/>
      <c r="G38" s="94"/>
      <c r="H38" s="94"/>
      <c r="I38" s="94"/>
      <c r="J38" s="13"/>
      <c r="K38" s="13"/>
    </row>
    <row r="39" spans="1:11" ht="20.100000000000001" customHeight="1" thickBot="1">
      <c r="A39" s="70" t="s">
        <v>27</v>
      </c>
      <c r="B39" s="98">
        <f>SUM(B34:B38)</f>
        <v>72</v>
      </c>
      <c r="C39" s="64"/>
      <c r="D39" s="97"/>
      <c r="E39" s="38"/>
      <c r="F39" s="94"/>
      <c r="G39" s="94"/>
      <c r="H39" s="94"/>
      <c r="I39" s="94"/>
      <c r="J39" s="94"/>
      <c r="K39" s="94"/>
    </row>
    <row r="40" spans="1:11" ht="20.100000000000001" customHeight="1">
      <c r="A40" s="90"/>
      <c r="B40" s="77"/>
      <c r="C40" s="95"/>
      <c r="D40" s="97"/>
      <c r="E40" s="38"/>
      <c r="F40" s="94"/>
      <c r="G40" s="94"/>
      <c r="H40" s="94"/>
      <c r="I40" s="94"/>
      <c r="J40" s="94"/>
      <c r="K40" s="94"/>
    </row>
    <row r="41" spans="1:11" ht="20.100000000000001" customHeight="1" thickBot="1">
      <c r="A41" s="81"/>
      <c r="B41" s="64"/>
      <c r="C41" s="158"/>
      <c r="D41" s="97"/>
      <c r="E41" s="62"/>
      <c r="F41" s="94"/>
      <c r="G41" s="94"/>
      <c r="H41" s="94"/>
      <c r="I41" s="94"/>
      <c r="J41" s="94"/>
      <c r="K41" s="94"/>
    </row>
    <row r="42" spans="1:11" ht="20.100000000000001" customHeight="1" thickBot="1">
      <c r="A42" s="501" t="s">
        <v>83</v>
      </c>
      <c r="B42" s="501"/>
      <c r="C42" s="501"/>
      <c r="D42" s="501"/>
      <c r="E42" s="501"/>
      <c r="F42" s="501"/>
      <c r="G42" s="501"/>
      <c r="H42" s="501"/>
      <c r="I42" s="501"/>
      <c r="J42" s="501"/>
      <c r="K42" s="501"/>
    </row>
    <row r="43" spans="1:11" ht="36.75" customHeight="1" thickBot="1">
      <c r="A43" s="99"/>
      <c r="B43" s="227" t="s">
        <v>84</v>
      </c>
      <c r="C43" s="228"/>
      <c r="D43" s="227" t="s">
        <v>85</v>
      </c>
      <c r="E43" s="227" t="s">
        <v>86</v>
      </c>
      <c r="F43" s="228"/>
      <c r="G43" s="227" t="s">
        <v>87</v>
      </c>
      <c r="H43" s="227" t="s">
        <v>88</v>
      </c>
      <c r="I43" s="100"/>
      <c r="J43" s="227" t="s">
        <v>89</v>
      </c>
      <c r="K43" s="229" t="s">
        <v>90</v>
      </c>
    </row>
    <row r="44" spans="1:11" ht="19.5" customHeight="1" thickBot="1">
      <c r="A44" s="101" t="s">
        <v>91</v>
      </c>
      <c r="B44" s="102">
        <v>0</v>
      </c>
      <c r="C44" s="102"/>
      <c r="D44" s="102">
        <v>0</v>
      </c>
      <c r="E44" s="102">
        <v>0</v>
      </c>
      <c r="F44" s="102"/>
      <c r="G44" s="102">
        <v>0</v>
      </c>
      <c r="H44" s="102">
        <v>0</v>
      </c>
      <c r="I44" s="103"/>
      <c r="J44" s="102">
        <v>0</v>
      </c>
      <c r="K44" s="102">
        <v>0</v>
      </c>
    </row>
    <row r="45" spans="1:11" s="75" customFormat="1" ht="20.100000000000001" customHeight="1" thickBot="1">
      <c r="A45" s="230" t="s">
        <v>92</v>
      </c>
      <c r="B45" s="231">
        <v>3</v>
      </c>
      <c r="C45" s="231"/>
      <c r="D45" s="231">
        <v>2</v>
      </c>
      <c r="E45" s="231">
        <v>3</v>
      </c>
      <c r="F45" s="231"/>
      <c r="G45" s="102">
        <v>0</v>
      </c>
      <c r="H45" s="102">
        <v>0</v>
      </c>
      <c r="I45" s="103"/>
      <c r="J45" s="102">
        <v>0</v>
      </c>
      <c r="K45" s="102">
        <v>0</v>
      </c>
    </row>
    <row r="46" spans="1:11" ht="20.100000000000001" customHeight="1" thickBot="1">
      <c r="A46" s="230" t="s">
        <v>93</v>
      </c>
      <c r="B46" s="231">
        <v>1</v>
      </c>
      <c r="C46" s="231"/>
      <c r="D46" s="231">
        <v>0</v>
      </c>
      <c r="E46" s="231">
        <v>0</v>
      </c>
      <c r="F46" s="231"/>
      <c r="G46" s="102">
        <v>0</v>
      </c>
      <c r="H46" s="102">
        <v>0</v>
      </c>
      <c r="I46" s="103"/>
      <c r="J46" s="102">
        <v>0</v>
      </c>
      <c r="K46" s="102">
        <v>0</v>
      </c>
    </row>
    <row r="47" spans="1:11" ht="20.100000000000001" customHeight="1" thickBot="1">
      <c r="A47" s="230" t="s">
        <v>94</v>
      </c>
      <c r="B47" s="231">
        <v>0</v>
      </c>
      <c r="C47" s="231"/>
      <c r="D47" s="231">
        <v>0</v>
      </c>
      <c r="E47" s="231">
        <v>0</v>
      </c>
      <c r="F47" s="231"/>
      <c r="G47" s="102">
        <v>0</v>
      </c>
      <c r="H47" s="102">
        <v>0</v>
      </c>
      <c r="I47" s="103"/>
      <c r="J47" s="102">
        <v>0</v>
      </c>
      <c r="K47" s="102">
        <v>0</v>
      </c>
    </row>
    <row r="48" spans="1:11" ht="20.100000000000001" customHeight="1" thickBot="1">
      <c r="A48" s="230" t="s">
        <v>95</v>
      </c>
      <c r="B48" s="231">
        <v>0</v>
      </c>
      <c r="C48" s="231"/>
      <c r="D48" s="231">
        <v>0</v>
      </c>
      <c r="E48" s="231">
        <v>0</v>
      </c>
      <c r="F48" s="231"/>
      <c r="G48" s="102">
        <v>0</v>
      </c>
      <c r="H48" s="102">
        <v>0</v>
      </c>
      <c r="I48" s="103"/>
      <c r="J48" s="102">
        <v>0</v>
      </c>
      <c r="K48" s="102">
        <v>0</v>
      </c>
    </row>
    <row r="49" spans="1:11" ht="20.100000000000001" customHeight="1" thickBot="1">
      <c r="A49" s="230" t="s">
        <v>96</v>
      </c>
      <c r="B49" s="231">
        <v>1</v>
      </c>
      <c r="C49" s="231"/>
      <c r="D49" s="231">
        <v>1</v>
      </c>
      <c r="E49" s="231">
        <v>1</v>
      </c>
      <c r="F49" s="231"/>
      <c r="G49" s="102">
        <v>0</v>
      </c>
      <c r="H49" s="102">
        <v>0</v>
      </c>
      <c r="I49" s="103"/>
      <c r="J49" s="102">
        <v>0</v>
      </c>
      <c r="K49" s="102">
        <v>0</v>
      </c>
    </row>
    <row r="50" spans="1:11" ht="20.100000000000001" customHeight="1" thickBot="1">
      <c r="A50" s="230" t="s">
        <v>97</v>
      </c>
      <c r="B50" s="231">
        <v>2</v>
      </c>
      <c r="C50" s="231"/>
      <c r="D50" s="231">
        <v>2</v>
      </c>
      <c r="E50" s="231">
        <v>2</v>
      </c>
      <c r="F50" s="231"/>
      <c r="G50" s="102">
        <v>0</v>
      </c>
      <c r="H50" s="102">
        <v>0</v>
      </c>
      <c r="I50" s="103"/>
      <c r="J50" s="102">
        <v>0</v>
      </c>
      <c r="K50" s="102">
        <v>0</v>
      </c>
    </row>
    <row r="51" spans="1:11" ht="20.100000000000001" customHeight="1" thickBot="1">
      <c r="A51" s="230" t="s">
        <v>98</v>
      </c>
      <c r="B51" s="231">
        <v>5</v>
      </c>
      <c r="C51" s="231"/>
      <c r="D51" s="231">
        <v>5</v>
      </c>
      <c r="E51" s="231">
        <v>5</v>
      </c>
      <c r="F51" s="231"/>
      <c r="G51" s="102">
        <v>0</v>
      </c>
      <c r="H51" s="102">
        <v>0</v>
      </c>
      <c r="I51" s="103"/>
      <c r="J51" s="102">
        <v>0</v>
      </c>
      <c r="K51" s="102">
        <v>0</v>
      </c>
    </row>
    <row r="52" spans="1:11" ht="20.100000000000001" customHeight="1" thickBot="1">
      <c r="A52" s="230" t="s">
        <v>99</v>
      </c>
      <c r="B52" s="231">
        <v>5</v>
      </c>
      <c r="C52" s="231"/>
      <c r="D52" s="231">
        <v>5</v>
      </c>
      <c r="E52" s="231">
        <v>5</v>
      </c>
      <c r="F52" s="231"/>
      <c r="G52" s="102">
        <v>0</v>
      </c>
      <c r="H52" s="102">
        <v>0</v>
      </c>
      <c r="I52" s="103"/>
      <c r="J52" s="102">
        <v>0</v>
      </c>
      <c r="K52" s="102">
        <v>0</v>
      </c>
    </row>
    <row r="53" spans="1:11" ht="20.100000000000001" customHeight="1" thickBot="1">
      <c r="A53" s="232" t="s">
        <v>100</v>
      </c>
      <c r="B53" s="233">
        <v>49</v>
      </c>
      <c r="C53" s="233"/>
      <c r="D53" s="233">
        <v>48</v>
      </c>
      <c r="E53" s="233">
        <v>49</v>
      </c>
      <c r="F53" s="233"/>
      <c r="G53" s="102">
        <v>0</v>
      </c>
      <c r="H53" s="102">
        <v>0</v>
      </c>
      <c r="I53" s="103"/>
      <c r="J53" s="102">
        <v>0</v>
      </c>
      <c r="K53" s="102">
        <v>0</v>
      </c>
    </row>
    <row r="54" spans="1:11" ht="34.5" customHeight="1" thickBot="1">
      <c r="A54" s="104" t="s">
        <v>27</v>
      </c>
      <c r="B54" s="234">
        <f>SUM(B44:B53)</f>
        <v>66</v>
      </c>
      <c r="C54" s="234">
        <f t="shared" ref="C54:K54" si="0">SUM(C44:C53)</f>
        <v>0</v>
      </c>
      <c r="D54" s="234">
        <f t="shared" si="0"/>
        <v>63</v>
      </c>
      <c r="E54" s="234">
        <f t="shared" si="0"/>
        <v>65</v>
      </c>
      <c r="F54" s="234">
        <f t="shared" si="0"/>
        <v>0</v>
      </c>
      <c r="G54" s="234">
        <f t="shared" si="0"/>
        <v>0</v>
      </c>
      <c r="H54" s="234">
        <f t="shared" si="0"/>
        <v>0</v>
      </c>
      <c r="I54" s="234">
        <f t="shared" si="0"/>
        <v>0</v>
      </c>
      <c r="J54" s="234">
        <f t="shared" si="0"/>
        <v>0</v>
      </c>
      <c r="K54" s="234">
        <f t="shared" si="0"/>
        <v>0</v>
      </c>
    </row>
    <row r="55" spans="1:11" ht="20.100000000000001" customHeight="1">
      <c r="C55" s="38"/>
      <c r="F55" s="93"/>
      <c r="G55" s="90"/>
      <c r="H55" s="95"/>
      <c r="I55" s="93"/>
      <c r="J55" s="105"/>
      <c r="K55" s="105"/>
    </row>
    <row r="56" spans="1:11" ht="19.5" customHeight="1">
      <c r="A56" s="106"/>
      <c r="B56" s="76"/>
      <c r="C56" s="47"/>
      <c r="D56" s="62"/>
      <c r="E56" s="62"/>
      <c r="F56" s="47"/>
      <c r="I56" s="47"/>
      <c r="J56" s="94"/>
      <c r="K56" s="94"/>
    </row>
    <row r="57" spans="1:11" ht="20.100000000000001" customHeight="1" thickBot="1">
      <c r="C57" s="47"/>
      <c r="D57" s="62"/>
      <c r="E57" s="62"/>
      <c r="F57" s="93"/>
      <c r="G57" s="47"/>
      <c r="H57" s="105"/>
      <c r="I57" s="93"/>
      <c r="J57" s="38"/>
      <c r="K57" s="38"/>
    </row>
    <row r="58" spans="1:11" ht="20.100000000000001" customHeight="1" thickBot="1">
      <c r="A58" s="512" t="s">
        <v>101</v>
      </c>
      <c r="B58" s="501"/>
      <c r="C58" s="501"/>
      <c r="D58" s="501"/>
      <c r="E58" s="501"/>
      <c r="F58" s="501"/>
      <c r="G58" s="501"/>
      <c r="H58" s="501"/>
      <c r="I58" s="501"/>
      <c r="J58" s="501"/>
      <c r="K58" s="513"/>
    </row>
    <row r="59" spans="1:11" ht="48" customHeight="1">
      <c r="A59" s="107"/>
      <c r="B59" s="108"/>
      <c r="C59" s="109"/>
      <c r="D59" s="110" t="s">
        <v>102</v>
      </c>
      <c r="E59" s="164" t="s">
        <v>103</v>
      </c>
      <c r="F59" s="165"/>
      <c r="G59" s="510" t="s">
        <v>104</v>
      </c>
      <c r="H59" s="511"/>
      <c r="I59" s="111"/>
      <c r="J59" s="164" t="s">
        <v>105</v>
      </c>
      <c r="K59" s="112" t="s">
        <v>106</v>
      </c>
    </row>
    <row r="60" spans="1:11" ht="20.100000000000001" customHeight="1">
      <c r="A60" s="235" t="s">
        <v>197</v>
      </c>
      <c r="B60" s="236"/>
      <c r="C60" s="237"/>
      <c r="D60" s="238">
        <v>16</v>
      </c>
      <c r="E60" s="514">
        <v>4</v>
      </c>
      <c r="F60" s="515"/>
      <c r="G60" s="516">
        <v>164</v>
      </c>
      <c r="H60" s="517"/>
      <c r="I60" s="238"/>
      <c r="J60" s="239">
        <v>4</v>
      </c>
      <c r="K60" s="240">
        <v>85</v>
      </c>
    </row>
    <row r="61" spans="1:11" ht="20.100000000000001" customHeight="1">
      <c r="A61" s="506" t="s">
        <v>198</v>
      </c>
      <c r="B61" s="507"/>
      <c r="C61" s="241"/>
      <c r="D61" s="238">
        <v>6</v>
      </c>
      <c r="E61" s="508">
        <v>0</v>
      </c>
      <c r="F61" s="509"/>
      <c r="G61" s="508">
        <v>0</v>
      </c>
      <c r="H61" s="509"/>
      <c r="I61" s="239"/>
      <c r="J61" s="242">
        <v>0</v>
      </c>
      <c r="K61" s="242">
        <v>0</v>
      </c>
    </row>
    <row r="62" spans="1:11" ht="20.100000000000001" customHeight="1">
      <c r="A62" s="273" t="s">
        <v>210</v>
      </c>
      <c r="B62" s="274"/>
      <c r="C62" s="241"/>
      <c r="D62" s="238"/>
      <c r="E62" s="276"/>
      <c r="F62" s="277"/>
      <c r="G62" s="276"/>
      <c r="H62" s="277"/>
      <c r="I62" s="239"/>
      <c r="J62" s="242"/>
      <c r="K62" s="242"/>
    </row>
    <row r="63" spans="1:11" ht="20.100000000000001" customHeight="1">
      <c r="A63" s="506" t="s">
        <v>17</v>
      </c>
      <c r="B63" s="507"/>
      <c r="C63" s="241"/>
      <c r="D63" s="238">
        <v>0</v>
      </c>
      <c r="E63" s="508">
        <v>0</v>
      </c>
      <c r="F63" s="509"/>
      <c r="G63" s="508">
        <v>0</v>
      </c>
      <c r="H63" s="509"/>
      <c r="I63" s="239"/>
      <c r="J63" s="242">
        <v>0</v>
      </c>
      <c r="K63" s="242">
        <v>0</v>
      </c>
    </row>
    <row r="64" spans="1:11" ht="20.100000000000001" customHeight="1">
      <c r="A64" s="273" t="s">
        <v>211</v>
      </c>
      <c r="B64" s="274"/>
      <c r="C64" s="241"/>
      <c r="D64" s="238"/>
      <c r="E64" s="276"/>
      <c r="F64" s="277"/>
      <c r="G64" s="276"/>
      <c r="H64" s="277"/>
      <c r="I64" s="239"/>
      <c r="J64" s="242"/>
      <c r="K64" s="275"/>
    </row>
    <row r="65" spans="1:11" ht="20.100000000000001" customHeight="1">
      <c r="A65" s="506" t="s">
        <v>18</v>
      </c>
      <c r="B65" s="507"/>
      <c r="C65" s="241"/>
      <c r="D65" s="238">
        <v>2</v>
      </c>
      <c r="E65" s="514">
        <v>0</v>
      </c>
      <c r="F65" s="515"/>
      <c r="G65" s="516">
        <v>0</v>
      </c>
      <c r="H65" s="517"/>
      <c r="I65" s="239"/>
      <c r="J65" s="239">
        <v>0</v>
      </c>
      <c r="K65" s="243">
        <v>186</v>
      </c>
    </row>
    <row r="66" spans="1:11" ht="20.100000000000001" customHeight="1">
      <c r="A66" s="506" t="s">
        <v>199</v>
      </c>
      <c r="B66" s="507"/>
      <c r="C66" s="241"/>
      <c r="D66" s="238">
        <v>0</v>
      </c>
      <c r="E66" s="508">
        <v>0</v>
      </c>
      <c r="F66" s="509"/>
      <c r="G66" s="508">
        <v>0</v>
      </c>
      <c r="H66" s="509"/>
      <c r="I66" s="239"/>
      <c r="J66" s="242">
        <v>0</v>
      </c>
      <c r="K66" s="242">
        <v>0</v>
      </c>
    </row>
    <row r="67" spans="1:11" ht="20.100000000000001" customHeight="1">
      <c r="A67" s="506" t="s">
        <v>21</v>
      </c>
      <c r="B67" s="507"/>
      <c r="C67" s="241"/>
      <c r="D67" s="238">
        <v>0</v>
      </c>
      <c r="E67" s="508">
        <v>0</v>
      </c>
      <c r="F67" s="509"/>
      <c r="G67" s="508">
        <v>0</v>
      </c>
      <c r="H67" s="509"/>
      <c r="I67" s="239"/>
      <c r="J67" s="242">
        <v>0</v>
      </c>
      <c r="K67" s="242">
        <v>0</v>
      </c>
    </row>
    <row r="68" spans="1:11" ht="20.100000000000001" customHeight="1">
      <c r="A68" s="506" t="s">
        <v>20</v>
      </c>
      <c r="B68" s="507"/>
      <c r="C68" s="241"/>
      <c r="D68" s="238">
        <v>11</v>
      </c>
      <c r="E68" s="514">
        <v>2</v>
      </c>
      <c r="F68" s="515"/>
      <c r="G68" s="516">
        <v>486</v>
      </c>
      <c r="H68" s="517"/>
      <c r="I68" s="239"/>
      <c r="J68" s="239">
        <v>7</v>
      </c>
      <c r="K68" s="240">
        <v>369</v>
      </c>
    </row>
    <row r="69" spans="1:11" ht="20.100000000000001" customHeight="1">
      <c r="A69" s="506" t="s">
        <v>22</v>
      </c>
      <c r="B69" s="507"/>
      <c r="C69" s="241"/>
      <c r="D69" s="238">
        <v>3</v>
      </c>
      <c r="E69" s="514">
        <v>0</v>
      </c>
      <c r="F69" s="515"/>
      <c r="G69" s="516">
        <v>78</v>
      </c>
      <c r="H69" s="517"/>
      <c r="I69" s="239"/>
      <c r="J69" s="239">
        <v>1</v>
      </c>
      <c r="K69" s="240">
        <v>56</v>
      </c>
    </row>
    <row r="70" spans="1:11" ht="20.100000000000001" customHeight="1">
      <c r="A70" s="518" t="s">
        <v>107</v>
      </c>
      <c r="B70" s="519"/>
      <c r="C70" s="241"/>
      <c r="D70" s="238">
        <v>1</v>
      </c>
      <c r="E70" s="514">
        <v>0</v>
      </c>
      <c r="F70" s="515"/>
      <c r="G70" s="516">
        <v>53</v>
      </c>
      <c r="H70" s="517"/>
      <c r="I70" s="239"/>
      <c r="J70" s="239">
        <v>0</v>
      </c>
      <c r="K70" s="240">
        <v>18</v>
      </c>
    </row>
    <row r="71" spans="1:11" ht="20.100000000000001" customHeight="1">
      <c r="A71" s="518" t="s">
        <v>108</v>
      </c>
      <c r="B71" s="519"/>
      <c r="C71" s="241"/>
      <c r="D71" s="238">
        <v>1</v>
      </c>
      <c r="E71" s="514">
        <v>1</v>
      </c>
      <c r="F71" s="515"/>
      <c r="G71" s="516">
        <v>31</v>
      </c>
      <c r="H71" s="517"/>
      <c r="I71" s="239"/>
      <c r="J71" s="239">
        <v>0</v>
      </c>
      <c r="K71" s="240">
        <v>0</v>
      </c>
    </row>
    <row r="72" spans="1:11" ht="20.100000000000001" customHeight="1">
      <c r="A72" s="518" t="s">
        <v>109</v>
      </c>
      <c r="B72" s="519"/>
      <c r="C72" s="241"/>
      <c r="D72" s="238">
        <v>1</v>
      </c>
      <c r="E72" s="514">
        <v>1</v>
      </c>
      <c r="F72" s="515"/>
      <c r="G72" s="516">
        <v>15</v>
      </c>
      <c r="H72" s="517"/>
      <c r="I72" s="239"/>
      <c r="J72" s="239">
        <v>0</v>
      </c>
      <c r="K72" s="240">
        <v>0</v>
      </c>
    </row>
    <row r="73" spans="1:11" ht="20.100000000000001" customHeight="1" thickBot="1">
      <c r="A73" s="525" t="s">
        <v>110</v>
      </c>
      <c r="B73" s="526"/>
      <c r="C73" s="244"/>
      <c r="D73" s="245">
        <v>0</v>
      </c>
      <c r="E73" s="522">
        <v>0</v>
      </c>
      <c r="F73" s="523"/>
      <c r="G73" s="527">
        <v>31</v>
      </c>
      <c r="H73" s="528"/>
      <c r="I73" s="239"/>
      <c r="J73" s="239">
        <v>0</v>
      </c>
      <c r="K73" s="240">
        <v>39</v>
      </c>
    </row>
    <row r="74" spans="1:11" ht="20.100000000000001" customHeight="1" thickBot="1">
      <c r="A74" s="529" t="s">
        <v>27</v>
      </c>
      <c r="B74" s="530"/>
      <c r="C74" s="113"/>
      <c r="D74" s="114">
        <f>SUM(D60:D73)</f>
        <v>41</v>
      </c>
      <c r="E74" s="531">
        <f>SUM(E60:F73)</f>
        <v>8</v>
      </c>
      <c r="F74" s="532"/>
      <c r="G74" s="531">
        <f>SUM(G60:H73)</f>
        <v>858</v>
      </c>
      <c r="H74" s="532"/>
      <c r="I74" s="113"/>
      <c r="J74" s="114">
        <f>SUM(J60:J73)</f>
        <v>12</v>
      </c>
      <c r="K74" s="115">
        <f>SUM(K60:K73)</f>
        <v>753</v>
      </c>
    </row>
    <row r="75" spans="1:11" ht="20.100000000000001" customHeight="1" thickBot="1">
      <c r="A75" s="512" t="s">
        <v>101</v>
      </c>
      <c r="B75" s="501"/>
      <c r="C75" s="501"/>
      <c r="D75" s="501"/>
      <c r="E75" s="501"/>
      <c r="F75" s="501"/>
      <c r="G75" s="501"/>
      <c r="H75" s="501"/>
      <c r="I75" s="501"/>
      <c r="J75" s="501"/>
      <c r="K75" s="513"/>
    </row>
    <row r="76" spans="1:11" ht="20.100000000000001" customHeight="1">
      <c r="A76" s="536" t="s">
        <v>169</v>
      </c>
      <c r="B76" s="110" t="s">
        <v>102</v>
      </c>
      <c r="C76" s="246"/>
      <c r="D76" s="166" t="s">
        <v>200</v>
      </c>
      <c r="E76" s="510" t="s">
        <v>201</v>
      </c>
      <c r="F76" s="511"/>
      <c r="G76" s="166" t="s">
        <v>202</v>
      </c>
      <c r="H76" s="510" t="s">
        <v>203</v>
      </c>
      <c r="I76" s="511"/>
      <c r="J76" s="166" t="s">
        <v>204</v>
      </c>
      <c r="K76" s="247" t="s">
        <v>205</v>
      </c>
    </row>
    <row r="77" spans="1:11" ht="20.100000000000001" customHeight="1" thickBot="1">
      <c r="A77" s="537"/>
      <c r="B77" s="245">
        <v>5</v>
      </c>
      <c r="C77" s="522">
        <v>42</v>
      </c>
      <c r="D77" s="523"/>
      <c r="E77" s="527">
        <v>4</v>
      </c>
      <c r="F77" s="528"/>
      <c r="G77" s="245">
        <v>0</v>
      </c>
      <c r="H77" s="527">
        <v>49</v>
      </c>
      <c r="I77" s="538"/>
      <c r="J77" s="248">
        <v>0</v>
      </c>
      <c r="K77" s="249">
        <v>1</v>
      </c>
    </row>
    <row r="78" spans="1:11" ht="20.100000000000001" customHeight="1">
      <c r="A78" s="125" t="s">
        <v>122</v>
      </c>
      <c r="B78" s="125"/>
      <c r="C78" s="13"/>
      <c r="D78" s="118"/>
      <c r="E78" s="77"/>
    </row>
    <row r="79" spans="1:11" ht="20.100000000000001" customHeight="1">
      <c r="A79" s="116" t="s">
        <v>111</v>
      </c>
      <c r="B79" s="117"/>
      <c r="C79" s="13"/>
      <c r="D79" s="118"/>
      <c r="E79" s="77"/>
    </row>
    <row r="80" spans="1:11" ht="20.100000000000001" customHeight="1">
      <c r="A80" s="116" t="s">
        <v>112</v>
      </c>
      <c r="B80" s="117"/>
      <c r="C80" s="13"/>
      <c r="D80" s="118"/>
      <c r="E80" s="77"/>
    </row>
    <row r="81" spans="1:11" ht="20.100000000000001" customHeight="1">
      <c r="A81" s="116" t="s">
        <v>113</v>
      </c>
      <c r="B81" s="117"/>
      <c r="C81" s="13"/>
      <c r="D81" s="90"/>
      <c r="E81" s="77"/>
    </row>
    <row r="82" spans="1:11" ht="20.100000000000001" customHeight="1" thickBot="1">
      <c r="A82" s="119"/>
      <c r="B82" s="117"/>
      <c r="C82" s="13"/>
      <c r="D82" s="90"/>
      <c r="E82" s="77"/>
    </row>
    <row r="83" spans="1:11" ht="20.100000000000001" customHeight="1" thickBot="1">
      <c r="A83" s="533" t="s">
        <v>114</v>
      </c>
      <c r="B83" s="534"/>
      <c r="C83" s="534"/>
      <c r="D83" s="534"/>
      <c r="E83" s="534"/>
      <c r="F83" s="534"/>
      <c r="G83" s="534"/>
      <c r="H83" s="534"/>
      <c r="I83" s="534"/>
      <c r="J83" s="534"/>
      <c r="K83" s="535"/>
    </row>
    <row r="84" spans="1:11" s="75" customFormat="1" ht="20.100000000000001" customHeight="1" thickBot="1">
      <c r="A84" s="250"/>
      <c r="B84" s="121"/>
      <c r="C84" s="121"/>
      <c r="D84" s="121"/>
      <c r="E84" s="121"/>
      <c r="F84" s="121"/>
      <c r="G84" s="121"/>
      <c r="H84" s="121"/>
      <c r="I84" s="121"/>
      <c r="J84" s="121"/>
      <c r="K84" s="251" t="s">
        <v>38</v>
      </c>
    </row>
    <row r="85" spans="1:11" ht="20.100000000000001" customHeight="1" thickBot="1">
      <c r="A85" s="520" t="s">
        <v>115</v>
      </c>
      <c r="B85" s="521"/>
      <c r="C85" s="162"/>
      <c r="D85" s="162"/>
      <c r="E85" s="162"/>
      <c r="F85" s="162"/>
      <c r="G85" s="162"/>
      <c r="H85" s="162"/>
      <c r="I85" s="162"/>
      <c r="J85" s="162"/>
      <c r="K85" s="157">
        <v>64</v>
      </c>
    </row>
    <row r="86" spans="1:11" ht="20.100000000000001" customHeight="1" thickBot="1">
      <c r="A86" s="252" t="s">
        <v>116</v>
      </c>
      <c r="B86" s="253"/>
      <c r="C86" s="253"/>
      <c r="D86" s="253"/>
      <c r="E86" s="253"/>
      <c r="F86" s="253"/>
      <c r="G86" s="253"/>
      <c r="H86" s="253"/>
      <c r="I86" s="253"/>
      <c r="J86" s="253"/>
      <c r="K86" s="80">
        <v>34</v>
      </c>
    </row>
    <row r="87" spans="1:11" ht="20.100000000000001" customHeight="1" thickBot="1">
      <c r="A87" s="539" t="s">
        <v>117</v>
      </c>
      <c r="B87" s="540"/>
      <c r="C87" s="254"/>
      <c r="D87" s="254"/>
      <c r="E87" s="254"/>
      <c r="F87" s="254"/>
      <c r="G87" s="254"/>
      <c r="H87" s="254"/>
      <c r="I87" s="254"/>
      <c r="J87" s="254"/>
      <c r="K87" s="157">
        <v>18</v>
      </c>
    </row>
    <row r="88" spans="1:11" ht="20.100000000000001" customHeight="1" thickBot="1">
      <c r="A88" s="255" t="s">
        <v>118</v>
      </c>
      <c r="B88" s="256"/>
      <c r="C88" s="256"/>
      <c r="D88" s="256"/>
      <c r="E88" s="256"/>
      <c r="F88" s="256"/>
      <c r="G88" s="256"/>
      <c r="H88" s="256"/>
      <c r="I88" s="256"/>
      <c r="J88" s="256"/>
      <c r="K88" s="80">
        <v>6</v>
      </c>
    </row>
    <row r="89" spans="1:11" ht="20.100000000000001" customHeight="1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</row>
    <row r="90" spans="1:11" ht="20.100000000000001" customHeight="1" thickBot="1"/>
    <row r="91" spans="1:11" ht="20.100000000000001" customHeight="1" thickBot="1">
      <c r="A91" s="512" t="s">
        <v>119</v>
      </c>
      <c r="B91" s="501"/>
      <c r="C91" s="501"/>
      <c r="D91" s="501"/>
      <c r="E91" s="501"/>
      <c r="F91" s="501"/>
      <c r="G91" s="501"/>
      <c r="H91" s="501"/>
      <c r="I91" s="501"/>
      <c r="J91" s="501"/>
      <c r="K91" s="513"/>
    </row>
    <row r="92" spans="1:11" s="75" customFormat="1" ht="20.100000000000001" customHeight="1" thickBot="1">
      <c r="A92" s="121"/>
      <c r="B92" s="121"/>
      <c r="C92" s="121"/>
      <c r="D92" s="121"/>
      <c r="E92" s="121"/>
      <c r="F92" s="121"/>
      <c r="G92" s="121"/>
      <c r="H92" s="121"/>
      <c r="I92" s="121"/>
      <c r="J92" s="121"/>
      <c r="K92" s="257" t="s">
        <v>38</v>
      </c>
    </row>
    <row r="93" spans="1:11" ht="20.100000000000001" customHeight="1" thickBot="1">
      <c r="A93" s="159" t="s">
        <v>120</v>
      </c>
      <c r="B93" s="160"/>
      <c r="C93" s="160"/>
      <c r="D93" s="160"/>
      <c r="E93" s="160"/>
      <c r="F93" s="160"/>
      <c r="G93" s="160"/>
      <c r="H93" s="160"/>
      <c r="I93" s="160"/>
      <c r="J93" s="160"/>
      <c r="K93" s="44">
        <v>3592</v>
      </c>
    </row>
    <row r="94" spans="1:11" ht="20.100000000000001" customHeight="1" thickBot="1">
      <c r="A94" s="258" t="s">
        <v>121</v>
      </c>
      <c r="B94" s="259"/>
      <c r="C94" s="259"/>
      <c r="D94" s="259"/>
      <c r="E94" s="259"/>
      <c r="F94" s="259"/>
      <c r="G94" s="259"/>
      <c r="H94" s="259"/>
      <c r="I94" s="259"/>
      <c r="J94" s="259"/>
      <c r="K94" s="260">
        <v>0.94</v>
      </c>
    </row>
    <row r="95" spans="1:11" ht="20.100000000000001" customHeight="1">
      <c r="A95" s="122"/>
      <c r="B95" s="47"/>
    </row>
    <row r="96" spans="1:11" ht="20.100000000000001" customHeight="1">
      <c r="A96" s="13"/>
      <c r="B96" s="13"/>
      <c r="C96" s="13"/>
      <c r="D96" s="93"/>
      <c r="E96" s="47"/>
    </row>
    <row r="97" spans="1:4" ht="20.100000000000001" customHeight="1">
      <c r="A97" s="123"/>
      <c r="B97" s="124"/>
      <c r="C97" s="13"/>
      <c r="D97" s="90"/>
    </row>
    <row r="98" spans="1:4" ht="20.100000000000001" customHeight="1">
      <c r="A98" s="117"/>
      <c r="B98" s="13"/>
      <c r="C98" s="13"/>
      <c r="D98" s="168"/>
    </row>
    <row r="99" spans="1:4" ht="20.100000000000001" customHeight="1">
      <c r="A99" s="524"/>
      <c r="B99" s="524"/>
      <c r="C99" s="13"/>
      <c r="D99" s="168"/>
    </row>
    <row r="100" spans="1:4" ht="20.100000000000001" customHeight="1">
      <c r="A100" s="117"/>
      <c r="B100" s="117"/>
      <c r="C100" s="13"/>
      <c r="D100" s="47"/>
    </row>
    <row r="101" spans="1:4" ht="20.100000000000001" customHeight="1">
      <c r="A101" s="117"/>
      <c r="B101" s="117"/>
      <c r="C101" s="13"/>
      <c r="D101" s="13"/>
    </row>
    <row r="102" spans="1:4" ht="20.100000000000001" customHeight="1">
      <c r="A102" s="117"/>
      <c r="B102" s="117"/>
      <c r="C102" s="13"/>
      <c r="D102" s="13"/>
    </row>
    <row r="103" spans="1:4" ht="20.100000000000001" customHeight="1">
      <c r="A103" s="117"/>
      <c r="B103" s="117"/>
      <c r="C103" s="13"/>
      <c r="D103" s="13"/>
    </row>
    <row r="104" spans="1:4" ht="20.100000000000001" customHeight="1">
      <c r="A104" s="13"/>
      <c r="B104" s="13"/>
      <c r="C104" s="13"/>
      <c r="D104" s="13"/>
    </row>
    <row r="105" spans="1:4" ht="20.100000000000001" customHeight="1"/>
    <row r="106" spans="1:4" ht="20.100000000000001" customHeight="1"/>
    <row r="107" spans="1:4" ht="20.100000000000001" customHeight="1"/>
    <row r="108" spans="1:4" ht="20.100000000000001" customHeight="1"/>
    <row r="109" spans="1:4" ht="20.100000000000001" customHeight="1"/>
    <row r="110" spans="1:4" ht="20.100000000000001" customHeight="1"/>
    <row r="111" spans="1:4" ht="20.100000000000001" customHeight="1"/>
    <row r="112" spans="1:4" ht="20.100000000000001" customHeight="1"/>
    <row r="113" spans="4:5" ht="20.100000000000001" customHeight="1"/>
    <row r="114" spans="4:5" ht="20.100000000000001" customHeight="1"/>
    <row r="115" spans="4:5" ht="20.100000000000001" customHeight="1">
      <c r="D115" s="38"/>
      <c r="E115" s="38"/>
    </row>
    <row r="116" spans="4:5" ht="20.100000000000001" customHeight="1">
      <c r="D116" s="38"/>
      <c r="E116" s="38"/>
    </row>
    <row r="117" spans="4:5" ht="20.100000000000001" customHeight="1">
      <c r="D117" s="93"/>
      <c r="E117" s="93"/>
    </row>
    <row r="118" spans="4:5" ht="20.100000000000001" customHeight="1">
      <c r="D118" s="47"/>
      <c r="E118" s="47"/>
    </row>
    <row r="119" spans="4:5" ht="20.100000000000001" customHeight="1">
      <c r="D119" s="47"/>
      <c r="E119" s="47"/>
    </row>
    <row r="120" spans="4:5" ht="20.100000000000001" customHeight="1">
      <c r="D120" s="124"/>
      <c r="E120" s="124"/>
    </row>
    <row r="121" spans="4:5" ht="20.100000000000001" customHeight="1">
      <c r="D121" s="13"/>
      <c r="E121" s="13"/>
    </row>
    <row r="122" spans="4:5" ht="20.100000000000001" customHeight="1">
      <c r="D122" s="161"/>
      <c r="E122" s="161"/>
    </row>
    <row r="123" spans="4:5" ht="20.100000000000001" customHeight="1">
      <c r="D123" s="117"/>
      <c r="E123" s="117"/>
    </row>
    <row r="124" spans="4:5" ht="20.100000000000001" customHeight="1">
      <c r="D124" s="117"/>
      <c r="E124" s="117"/>
    </row>
    <row r="125" spans="4:5" ht="20.100000000000001" customHeight="1">
      <c r="D125" s="117"/>
      <c r="E125" s="117"/>
    </row>
    <row r="126" spans="4:5" ht="20.100000000000001" customHeight="1">
      <c r="D126" s="117"/>
      <c r="E126" s="117"/>
    </row>
    <row r="127" spans="4:5" ht="20.100000000000001" customHeight="1"/>
    <row r="128" spans="4:5" ht="20.100000000000001" customHeight="1">
      <c r="E128" s="47"/>
    </row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</sheetData>
  <sheetProtection selectLockedCells="1" selectUnlockedCells="1"/>
  <mergeCells count="66">
    <mergeCell ref="A99:B99"/>
    <mergeCell ref="A73:B73"/>
    <mergeCell ref="E73:F73"/>
    <mergeCell ref="G73:H73"/>
    <mergeCell ref="A74:B74"/>
    <mergeCell ref="E74:F74"/>
    <mergeCell ref="G74:H74"/>
    <mergeCell ref="A75:K75"/>
    <mergeCell ref="A83:K83"/>
    <mergeCell ref="A76:A77"/>
    <mergeCell ref="E76:F76"/>
    <mergeCell ref="H76:I76"/>
    <mergeCell ref="H77:I77"/>
    <mergeCell ref="E77:F77"/>
    <mergeCell ref="A87:B87"/>
    <mergeCell ref="A91:K91"/>
    <mergeCell ref="A85:B85"/>
    <mergeCell ref="A68:B68"/>
    <mergeCell ref="E68:F68"/>
    <mergeCell ref="G68:H68"/>
    <mergeCell ref="A69:B69"/>
    <mergeCell ref="E69:F69"/>
    <mergeCell ref="G69:H69"/>
    <mergeCell ref="G70:H70"/>
    <mergeCell ref="A71:B71"/>
    <mergeCell ref="E71:F71"/>
    <mergeCell ref="G71:H71"/>
    <mergeCell ref="G72:H72"/>
    <mergeCell ref="A72:B72"/>
    <mergeCell ref="E72:F72"/>
    <mergeCell ref="C77:D77"/>
    <mergeCell ref="A65:B65"/>
    <mergeCell ref="E65:F65"/>
    <mergeCell ref="A70:B70"/>
    <mergeCell ref="E70:F70"/>
    <mergeCell ref="G65:H65"/>
    <mergeCell ref="A66:B66"/>
    <mergeCell ref="E66:F66"/>
    <mergeCell ref="G66:H66"/>
    <mergeCell ref="A67:B67"/>
    <mergeCell ref="E67:F67"/>
    <mergeCell ref="G67:H67"/>
    <mergeCell ref="A63:B63"/>
    <mergeCell ref="E63:F63"/>
    <mergeCell ref="G63:H63"/>
    <mergeCell ref="G59:H59"/>
    <mergeCell ref="G28:H28"/>
    <mergeCell ref="A42:K42"/>
    <mergeCell ref="A58:K58"/>
    <mergeCell ref="E60:F60"/>
    <mergeCell ref="G60:H60"/>
    <mergeCell ref="A61:B61"/>
    <mergeCell ref="E61:F61"/>
    <mergeCell ref="G61:H61"/>
    <mergeCell ref="A21:B21"/>
    <mergeCell ref="G21:H21"/>
    <mergeCell ref="A26:K26"/>
    <mergeCell ref="G33:H33"/>
    <mergeCell ref="D36:D37"/>
    <mergeCell ref="G16:H16"/>
    <mergeCell ref="J16:K16"/>
    <mergeCell ref="A2:K2"/>
    <mergeCell ref="B5:K5"/>
    <mergeCell ref="A9:K9"/>
    <mergeCell ref="B10:G10"/>
    <mergeCell ref="A14:K14"/>
  </mergeCells>
  <printOptions horizontalCentered="1"/>
  <pageMargins left="0.51181102362204722" right="0.51181102362204722" top="0.78740157480314965" bottom="0.78740157480314965" header="0.51181102362204722" footer="0.51181102362204722"/>
  <pageSetup paperSize="9" scale="37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34"/>
  <sheetViews>
    <sheetView showGridLines="0" view="pageBreakPreview" topLeftCell="A22" zoomScale="71" zoomScaleSheetLayoutView="71" workbookViewId="0">
      <selection activeCell="E30" sqref="E30"/>
    </sheetView>
  </sheetViews>
  <sheetFormatPr defaultColWidth="28.140625" defaultRowHeight="15"/>
  <cols>
    <col min="1" max="1" width="42" style="1" customWidth="1"/>
    <col min="2" max="2" width="19.85546875" style="1" customWidth="1"/>
    <col min="3" max="3" width="4.140625" style="1" customWidth="1"/>
    <col min="4" max="4" width="37.7109375" style="1" customWidth="1"/>
    <col min="5" max="5" width="18.7109375" style="1" customWidth="1"/>
    <col min="6" max="6" width="5.140625" style="1" customWidth="1"/>
    <col min="7" max="7" width="34.140625" style="1" customWidth="1"/>
    <col min="8" max="8" width="13.28515625" style="1" bestFit="1" customWidth="1"/>
    <col min="9" max="9" width="5.140625" style="1" customWidth="1"/>
    <col min="10" max="10" width="27.85546875" style="1" customWidth="1"/>
    <col min="11" max="11" width="30.85546875" style="1" customWidth="1"/>
    <col min="12" max="16384" width="28.140625" style="1"/>
  </cols>
  <sheetData>
    <row r="1" spans="1:13" ht="20.100000000000001" customHeight="1">
      <c r="L1" s="56"/>
      <c r="M1" s="56"/>
    </row>
    <row r="2" spans="1:13" ht="20.100000000000001" customHeight="1">
      <c r="A2" s="499"/>
      <c r="B2" s="499"/>
      <c r="C2" s="499"/>
      <c r="D2" s="499"/>
      <c r="E2" s="499"/>
      <c r="F2" s="499"/>
      <c r="G2" s="499"/>
      <c r="H2" s="499"/>
      <c r="I2" s="499"/>
      <c r="J2" s="499"/>
      <c r="K2" s="499"/>
    </row>
    <row r="3" spans="1:13" ht="20.100000000000001" customHeight="1"/>
    <row r="4" spans="1:13" ht="20.100000000000001" customHeight="1"/>
    <row r="5" spans="1:13" ht="20.100000000000001" customHeight="1">
      <c r="A5" s="57"/>
      <c r="B5" s="499"/>
      <c r="C5" s="499"/>
      <c r="D5" s="499"/>
      <c r="E5" s="499"/>
      <c r="F5" s="499"/>
      <c r="G5" s="499"/>
      <c r="H5" s="499"/>
      <c r="I5" s="499"/>
      <c r="J5" s="499"/>
      <c r="K5" s="499"/>
    </row>
    <row r="6" spans="1:13" ht="20.100000000000001" customHeight="1">
      <c r="A6" s="57"/>
      <c r="B6" s="167"/>
      <c r="C6" s="167"/>
      <c r="D6" s="167"/>
      <c r="E6" s="167"/>
      <c r="F6" s="167"/>
      <c r="G6" s="167"/>
      <c r="H6" s="167"/>
      <c r="I6" s="167"/>
      <c r="J6" s="167"/>
      <c r="K6" s="167"/>
    </row>
    <row r="7" spans="1:13" ht="20.100000000000001" customHeight="1">
      <c r="A7" s="57"/>
      <c r="B7" s="167"/>
      <c r="C7" s="167"/>
      <c r="D7" s="167"/>
      <c r="E7" s="167"/>
      <c r="F7" s="167"/>
      <c r="G7" s="167"/>
      <c r="H7" s="167"/>
      <c r="I7" s="167"/>
      <c r="J7" s="167"/>
      <c r="K7" s="167"/>
    </row>
    <row r="8" spans="1:13" ht="20.100000000000001" customHeight="1">
      <c r="A8" s="57"/>
      <c r="B8" s="167"/>
      <c r="C8" s="167"/>
      <c r="D8" s="167"/>
      <c r="E8" s="167"/>
      <c r="F8" s="167"/>
      <c r="G8" s="167"/>
      <c r="H8" s="167"/>
      <c r="I8" s="167"/>
      <c r="J8" s="167"/>
      <c r="K8" s="167"/>
    </row>
    <row r="9" spans="1:13" ht="20.100000000000001" customHeight="1">
      <c r="A9" s="460" t="s">
        <v>0</v>
      </c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2"/>
      <c r="M9" s="2"/>
    </row>
    <row r="10" spans="1:13" s="4" customFormat="1" ht="20.100000000000001" customHeight="1">
      <c r="A10" s="58"/>
      <c r="B10" s="500"/>
      <c r="C10" s="500"/>
      <c r="D10" s="500"/>
      <c r="E10" s="500"/>
      <c r="F10" s="500"/>
      <c r="G10" s="500"/>
      <c r="H10" s="59"/>
      <c r="I10" s="59"/>
      <c r="J10" s="59"/>
      <c r="K10" s="59"/>
      <c r="L10" s="3"/>
      <c r="M10" s="3"/>
    </row>
    <row r="11" spans="1:13" s="4" customFormat="1" ht="20.100000000000001" customHeight="1">
      <c r="A11" s="60" t="s">
        <v>1</v>
      </c>
      <c r="B11" s="6" t="s">
        <v>185</v>
      </c>
      <c r="C11" s="7"/>
      <c r="D11" s="8"/>
      <c r="E11" s="9"/>
      <c r="F11" s="7"/>
      <c r="G11" s="7"/>
      <c r="H11" s="7"/>
      <c r="I11" s="10"/>
      <c r="J11" s="3"/>
      <c r="K11" s="3"/>
    </row>
    <row r="12" spans="1:13" ht="20.100000000000001" customHeight="1">
      <c r="A12" s="11" t="s">
        <v>2</v>
      </c>
      <c r="B12" s="12" t="s">
        <v>3</v>
      </c>
      <c r="D12" s="13"/>
      <c r="E12" s="13"/>
    </row>
    <row r="13" spans="1:13" ht="20.100000000000001" customHeight="1" thickBot="1">
      <c r="A13" s="11"/>
      <c r="B13" s="15"/>
      <c r="D13" s="13"/>
      <c r="E13" s="13"/>
    </row>
    <row r="14" spans="1:13" ht="20.100000000000001" customHeight="1" thickBot="1">
      <c r="A14" s="501" t="s">
        <v>53</v>
      </c>
      <c r="B14" s="501"/>
      <c r="C14" s="501"/>
      <c r="D14" s="501"/>
      <c r="E14" s="501"/>
      <c r="F14" s="501"/>
      <c r="G14" s="501"/>
      <c r="H14" s="501"/>
      <c r="I14" s="501"/>
      <c r="J14" s="501"/>
      <c r="K14" s="501"/>
      <c r="L14" s="14"/>
      <c r="M14" s="14"/>
    </row>
    <row r="15" spans="1:13" ht="20.100000000000001" customHeight="1" thickBot="1">
      <c r="A15" s="61"/>
      <c r="B15" s="61"/>
      <c r="C15" s="158"/>
      <c r="D15" s="62"/>
      <c r="E15" s="62"/>
      <c r="F15" s="158"/>
      <c r="G15" s="63"/>
      <c r="H15" s="38"/>
      <c r="I15" s="38"/>
      <c r="J15" s="64"/>
      <c r="K15" s="64"/>
    </row>
    <row r="16" spans="1:13" ht="20.100000000000001" customHeight="1" thickBot="1">
      <c r="A16" s="163" t="s">
        <v>54</v>
      </c>
      <c r="B16" s="215" t="s">
        <v>38</v>
      </c>
      <c r="C16" s="64"/>
      <c r="D16" s="163" t="s">
        <v>55</v>
      </c>
      <c r="E16" s="65" t="s">
        <v>38</v>
      </c>
      <c r="F16" s="64"/>
      <c r="G16" s="497" t="s">
        <v>56</v>
      </c>
      <c r="H16" s="498"/>
      <c r="J16" s="497" t="s">
        <v>187</v>
      </c>
      <c r="K16" s="498"/>
    </row>
    <row r="17" spans="1:11" ht="20.100000000000001" customHeight="1" thickBot="1">
      <c r="A17" s="66" t="s">
        <v>57</v>
      </c>
      <c r="B17" s="216">
        <v>81</v>
      </c>
      <c r="C17" s="67"/>
      <c r="D17" s="68"/>
      <c r="E17" s="217" t="s">
        <v>58</v>
      </c>
      <c r="F17" s="69"/>
      <c r="G17" s="68"/>
      <c r="H17" s="217" t="s">
        <v>58</v>
      </c>
      <c r="I17" s="47"/>
      <c r="J17" s="68"/>
      <c r="K17" s="217" t="s">
        <v>58</v>
      </c>
    </row>
    <row r="18" spans="1:11" ht="20.100000000000001" customHeight="1" thickBot="1">
      <c r="A18" s="70" t="s">
        <v>188</v>
      </c>
      <c r="B18" s="157">
        <v>63</v>
      </c>
      <c r="C18" s="67"/>
      <c r="D18" s="71" t="s">
        <v>59</v>
      </c>
      <c r="E18" s="72"/>
      <c r="F18" s="69"/>
      <c r="G18" s="71" t="s">
        <v>59</v>
      </c>
      <c r="H18" s="218">
        <v>42419</v>
      </c>
      <c r="I18" s="73"/>
      <c r="J18" s="71"/>
      <c r="K18" s="218">
        <v>42425</v>
      </c>
    </row>
    <row r="19" spans="1:11" ht="20.100000000000001" customHeight="1">
      <c r="A19" s="74" t="s">
        <v>206</v>
      </c>
      <c r="B19" s="64"/>
      <c r="C19" s="64"/>
      <c r="D19" s="74" t="s">
        <v>207</v>
      </c>
      <c r="E19" s="62"/>
      <c r="F19" s="38"/>
      <c r="G19" s="38"/>
      <c r="H19" s="38"/>
      <c r="I19" s="38"/>
      <c r="J19" s="38"/>
      <c r="K19" s="38"/>
    </row>
    <row r="20" spans="1:11" ht="20.100000000000001" customHeight="1" thickBot="1">
      <c r="A20" s="74"/>
      <c r="B20" s="64"/>
      <c r="C20" s="64"/>
      <c r="D20" s="62"/>
      <c r="E20" s="62"/>
      <c r="F20" s="38"/>
      <c r="G20" s="38"/>
      <c r="H20" s="38"/>
      <c r="I20" s="38"/>
      <c r="J20" s="38"/>
      <c r="K20" s="38"/>
    </row>
    <row r="21" spans="1:11" ht="20.100000000000001" customHeight="1" thickBot="1">
      <c r="A21" s="502" t="s">
        <v>190</v>
      </c>
      <c r="B21" s="503"/>
      <c r="C21" s="62"/>
      <c r="D21" s="163" t="s">
        <v>191</v>
      </c>
      <c r="E21" s="65" t="s">
        <v>38</v>
      </c>
      <c r="F21" s="38"/>
      <c r="G21" s="497" t="s">
        <v>192</v>
      </c>
      <c r="H21" s="498"/>
      <c r="I21" s="38"/>
      <c r="J21" s="163" t="s">
        <v>193</v>
      </c>
      <c r="K21" s="65" t="s">
        <v>38</v>
      </c>
    </row>
    <row r="22" spans="1:11" ht="20.100000000000001" customHeight="1" thickBot="1">
      <c r="A22" s="68"/>
      <c r="B22" s="217" t="s">
        <v>58</v>
      </c>
      <c r="C22" s="62"/>
      <c r="D22" s="68"/>
      <c r="E22" s="217" t="s">
        <v>58</v>
      </c>
      <c r="F22" s="38"/>
      <c r="G22" s="68"/>
      <c r="H22" s="217" t="s">
        <v>58</v>
      </c>
      <c r="I22" s="38"/>
      <c r="J22" s="68"/>
      <c r="K22" s="217" t="s">
        <v>58</v>
      </c>
    </row>
    <row r="23" spans="1:11" ht="20.100000000000001" customHeight="1" thickBot="1">
      <c r="A23" s="71" t="s">
        <v>59</v>
      </c>
      <c r="B23" s="218">
        <v>42425</v>
      </c>
      <c r="C23" s="62"/>
      <c r="D23" s="71" t="s">
        <v>59</v>
      </c>
      <c r="E23" s="72">
        <v>42411</v>
      </c>
      <c r="F23" s="38"/>
      <c r="G23" s="71" t="s">
        <v>59</v>
      </c>
      <c r="H23" s="218">
        <v>42412</v>
      </c>
      <c r="I23" s="38"/>
      <c r="J23" s="71" t="s">
        <v>59</v>
      </c>
      <c r="K23" s="72">
        <v>42417</v>
      </c>
    </row>
    <row r="24" spans="1:11" ht="20.100000000000001" customHeight="1">
      <c r="A24" s="74"/>
      <c r="B24" s="64"/>
      <c r="C24" s="64"/>
      <c r="D24" s="62"/>
      <c r="E24" s="62"/>
      <c r="F24" s="38"/>
      <c r="G24" s="38"/>
      <c r="H24" s="38"/>
      <c r="I24" s="38"/>
      <c r="J24" s="38"/>
      <c r="K24" s="38"/>
    </row>
    <row r="25" spans="1:11" ht="20.100000000000001" customHeight="1" thickBot="1">
      <c r="A25" s="75"/>
      <c r="B25" s="75"/>
      <c r="C25" s="76"/>
      <c r="D25" s="62"/>
      <c r="E25" s="62"/>
      <c r="F25" s="77"/>
      <c r="H25" s="77"/>
      <c r="I25" s="77"/>
      <c r="J25" s="77"/>
      <c r="K25" s="77"/>
    </row>
    <row r="26" spans="1:11" ht="20.100000000000001" customHeight="1" thickBot="1">
      <c r="A26" s="501" t="s">
        <v>60</v>
      </c>
      <c r="B26" s="501"/>
      <c r="C26" s="501"/>
      <c r="D26" s="501"/>
      <c r="E26" s="501"/>
      <c r="F26" s="501"/>
      <c r="G26" s="501"/>
      <c r="H26" s="501"/>
      <c r="I26" s="501"/>
      <c r="J26" s="501"/>
      <c r="K26" s="501"/>
    </row>
    <row r="27" spans="1:11" ht="20.100000000000001" customHeight="1" thickBot="1">
      <c r="A27" s="78"/>
      <c r="B27" s="79"/>
      <c r="C27" s="64"/>
      <c r="D27" s="62"/>
      <c r="E27" s="62"/>
      <c r="F27" s="77"/>
      <c r="G27" s="77"/>
      <c r="H27" s="77"/>
      <c r="I27" s="77"/>
      <c r="J27" s="77"/>
      <c r="K27" s="77"/>
    </row>
    <row r="28" spans="1:11" ht="20.100000000000001" customHeight="1" thickBot="1">
      <c r="A28" s="163" t="s">
        <v>61</v>
      </c>
      <c r="B28" s="65" t="s">
        <v>38</v>
      </c>
      <c r="C28" s="64"/>
      <c r="D28" s="163" t="s">
        <v>62</v>
      </c>
      <c r="E28" s="65" t="s">
        <v>38</v>
      </c>
      <c r="F28" s="77"/>
      <c r="G28" s="502" t="s">
        <v>63</v>
      </c>
      <c r="H28" s="503"/>
      <c r="I28" s="77"/>
      <c r="J28" s="219" t="s">
        <v>194</v>
      </c>
      <c r="K28" s="65" t="s">
        <v>38</v>
      </c>
    </row>
    <row r="29" spans="1:11" ht="20.100000000000001" customHeight="1" thickBot="1">
      <c r="A29" s="68" t="s">
        <v>64</v>
      </c>
      <c r="B29" s="80">
        <v>53</v>
      </c>
      <c r="C29" s="81"/>
      <c r="D29" s="82" t="s">
        <v>65</v>
      </c>
      <c r="E29" s="80">
        <v>118</v>
      </c>
      <c r="F29" s="77"/>
      <c r="G29" s="83"/>
      <c r="H29" s="65" t="s">
        <v>38</v>
      </c>
      <c r="I29" s="77"/>
      <c r="J29" s="68" t="s">
        <v>195</v>
      </c>
      <c r="K29" s="80">
        <v>18</v>
      </c>
    </row>
    <row r="30" spans="1:11" ht="20.100000000000001" customHeight="1" thickBot="1">
      <c r="A30" s="68" t="s">
        <v>66</v>
      </c>
      <c r="B30" s="157">
        <v>28</v>
      </c>
      <c r="C30" s="81"/>
      <c r="D30" s="82" t="s">
        <v>67</v>
      </c>
      <c r="E30" s="157">
        <v>222</v>
      </c>
      <c r="F30" s="77"/>
      <c r="G30" s="70" t="s">
        <v>68</v>
      </c>
      <c r="H30" s="157">
        <v>146</v>
      </c>
      <c r="I30" s="77"/>
      <c r="J30" s="68" t="s">
        <v>196</v>
      </c>
      <c r="K30" s="80">
        <v>504</v>
      </c>
    </row>
    <row r="31" spans="1:11" ht="20.100000000000001" customHeight="1" thickBot="1">
      <c r="A31" s="70" t="s">
        <v>69</v>
      </c>
      <c r="B31" s="84">
        <v>1577</v>
      </c>
      <c r="C31" s="81"/>
      <c r="D31" s="220" t="s">
        <v>70</v>
      </c>
      <c r="E31" s="80">
        <f>SUM(E29:E30)</f>
        <v>340</v>
      </c>
      <c r="F31" s="77"/>
      <c r="I31" s="77"/>
      <c r="J31" s="221" t="s">
        <v>27</v>
      </c>
      <c r="K31" s="80">
        <f>SUM(K29:K30)</f>
        <v>522</v>
      </c>
    </row>
    <row r="32" spans="1:11" ht="20.100000000000001" customHeight="1" thickBot="1">
      <c r="A32" s="81"/>
      <c r="B32" s="64"/>
      <c r="C32" s="64"/>
      <c r="D32" s="85"/>
      <c r="E32" s="86"/>
      <c r="F32" s="77"/>
      <c r="I32" s="77"/>
      <c r="J32" s="87"/>
      <c r="K32" s="88"/>
    </row>
    <row r="33" spans="1:11" ht="20.100000000000001" customHeight="1" thickBot="1">
      <c r="A33" s="163" t="s">
        <v>71</v>
      </c>
      <c r="B33" s="65" t="s">
        <v>38</v>
      </c>
      <c r="C33" s="64"/>
      <c r="D33" s="89" t="s">
        <v>72</v>
      </c>
      <c r="E33" s="65" t="s">
        <v>38</v>
      </c>
      <c r="F33" s="90"/>
      <c r="G33" s="502" t="s">
        <v>73</v>
      </c>
      <c r="H33" s="503"/>
      <c r="I33" s="90"/>
      <c r="J33" s="87"/>
      <c r="K33" s="88"/>
    </row>
    <row r="34" spans="1:11" ht="20.100000000000001" customHeight="1" thickBot="1">
      <c r="A34" s="91" t="s">
        <v>74</v>
      </c>
      <c r="B34" s="80">
        <v>10</v>
      </c>
      <c r="C34" s="158"/>
      <c r="D34" s="92" t="s">
        <v>75</v>
      </c>
      <c r="E34" s="157">
        <v>17</v>
      </c>
      <c r="F34" s="93"/>
      <c r="G34" s="222"/>
      <c r="H34" s="65" t="s">
        <v>38</v>
      </c>
      <c r="I34" s="93"/>
      <c r="J34" s="87"/>
      <c r="K34" s="88"/>
    </row>
    <row r="35" spans="1:11" ht="20.100000000000001" customHeight="1" thickBot="1">
      <c r="A35" s="91" t="s">
        <v>76</v>
      </c>
      <c r="B35" s="157">
        <v>6</v>
      </c>
      <c r="C35" s="64"/>
      <c r="D35" s="68" t="s">
        <v>77</v>
      </c>
      <c r="E35" s="157">
        <v>3</v>
      </c>
      <c r="F35" s="94"/>
      <c r="G35" s="223"/>
      <c r="H35" s="157">
        <v>785</v>
      </c>
      <c r="I35" s="95"/>
      <c r="J35" s="87"/>
      <c r="K35" s="88"/>
    </row>
    <row r="36" spans="1:11" ht="20.100000000000001" customHeight="1" thickBot="1">
      <c r="A36" s="91" t="s">
        <v>78</v>
      </c>
      <c r="B36" s="80">
        <v>45</v>
      </c>
      <c r="C36" s="76"/>
      <c r="D36" s="504" t="s">
        <v>79</v>
      </c>
      <c r="E36" s="224"/>
      <c r="F36" s="225"/>
      <c r="H36" s="94"/>
      <c r="I36" s="94"/>
      <c r="J36" s="87"/>
      <c r="K36" s="88"/>
    </row>
    <row r="37" spans="1:11" ht="20.100000000000001" customHeight="1" thickBot="1">
      <c r="A37" s="91" t="s">
        <v>80</v>
      </c>
      <c r="B37" s="80">
        <v>7</v>
      </c>
      <c r="C37" s="76"/>
      <c r="D37" s="505"/>
      <c r="E37" s="226">
        <f>SUM(E34:E35)</f>
        <v>20</v>
      </c>
      <c r="F37" s="94"/>
      <c r="G37" s="94"/>
      <c r="H37" s="94"/>
      <c r="I37" s="94"/>
      <c r="J37" s="96"/>
      <c r="K37" s="88"/>
    </row>
    <row r="38" spans="1:11" ht="42" customHeight="1" thickBot="1">
      <c r="A38" s="91" t="s">
        <v>81</v>
      </c>
      <c r="B38" s="157">
        <v>5</v>
      </c>
      <c r="C38" s="76"/>
      <c r="D38" s="97" t="s">
        <v>82</v>
      </c>
      <c r="E38" s="38"/>
      <c r="F38" s="94"/>
      <c r="G38" s="94"/>
      <c r="H38" s="94"/>
      <c r="I38" s="94"/>
      <c r="J38" s="13"/>
      <c r="K38" s="13"/>
    </row>
    <row r="39" spans="1:11" ht="20.100000000000001" customHeight="1" thickBot="1">
      <c r="A39" s="70" t="s">
        <v>27</v>
      </c>
      <c r="B39" s="98">
        <f>SUM(B34:B38)</f>
        <v>73</v>
      </c>
      <c r="C39" s="64"/>
      <c r="D39" s="97"/>
      <c r="E39" s="38"/>
      <c r="F39" s="94"/>
      <c r="G39" s="94"/>
      <c r="H39" s="94"/>
      <c r="I39" s="94"/>
      <c r="J39" s="94"/>
      <c r="K39" s="94"/>
    </row>
    <row r="40" spans="1:11" ht="20.100000000000001" customHeight="1">
      <c r="A40" s="90"/>
      <c r="B40" s="77"/>
      <c r="C40" s="95"/>
      <c r="D40" s="97"/>
      <c r="E40" s="38"/>
      <c r="F40" s="94"/>
      <c r="G40" s="94"/>
      <c r="H40" s="94"/>
      <c r="I40" s="94"/>
      <c r="J40" s="94"/>
      <c r="K40" s="94"/>
    </row>
    <row r="41" spans="1:11" ht="20.100000000000001" customHeight="1" thickBot="1">
      <c r="A41" s="81"/>
      <c r="B41" s="64"/>
      <c r="C41" s="158"/>
      <c r="D41" s="97"/>
      <c r="E41" s="62"/>
      <c r="F41" s="94"/>
      <c r="G41" s="94"/>
      <c r="H41" s="94"/>
      <c r="I41" s="94"/>
      <c r="J41" s="94"/>
      <c r="K41" s="94"/>
    </row>
    <row r="42" spans="1:11" ht="20.100000000000001" customHeight="1" thickBot="1">
      <c r="A42" s="501" t="s">
        <v>83</v>
      </c>
      <c r="B42" s="501"/>
      <c r="C42" s="501"/>
      <c r="D42" s="501"/>
      <c r="E42" s="501"/>
      <c r="F42" s="501"/>
      <c r="G42" s="501"/>
      <c r="H42" s="501"/>
      <c r="I42" s="501"/>
      <c r="J42" s="501"/>
      <c r="K42" s="501"/>
    </row>
    <row r="43" spans="1:11" ht="36.75" customHeight="1" thickBot="1">
      <c r="A43" s="99"/>
      <c r="B43" s="227" t="s">
        <v>84</v>
      </c>
      <c r="C43" s="228"/>
      <c r="D43" s="227" t="s">
        <v>85</v>
      </c>
      <c r="E43" s="227" t="s">
        <v>86</v>
      </c>
      <c r="F43" s="228"/>
      <c r="G43" s="227" t="s">
        <v>87</v>
      </c>
      <c r="H43" s="227" t="s">
        <v>88</v>
      </c>
      <c r="I43" s="100"/>
      <c r="J43" s="227" t="s">
        <v>89</v>
      </c>
      <c r="K43" s="229" t="s">
        <v>90</v>
      </c>
    </row>
    <row r="44" spans="1:11" ht="19.5" customHeight="1">
      <c r="A44" s="261" t="s">
        <v>91</v>
      </c>
      <c r="B44" s="102">
        <v>0</v>
      </c>
      <c r="C44" s="102"/>
      <c r="D44" s="102">
        <v>0</v>
      </c>
      <c r="E44" s="102">
        <v>0</v>
      </c>
      <c r="F44" s="102"/>
      <c r="G44" s="102">
        <v>0</v>
      </c>
      <c r="H44" s="102">
        <v>0</v>
      </c>
      <c r="I44" s="103"/>
      <c r="J44" s="102">
        <v>0</v>
      </c>
      <c r="K44" s="262">
        <v>0</v>
      </c>
    </row>
    <row r="45" spans="1:11" s="75" customFormat="1" ht="20.100000000000001" customHeight="1">
      <c r="A45" s="263" t="s">
        <v>92</v>
      </c>
      <c r="B45" s="231">
        <v>2</v>
      </c>
      <c r="C45" s="231"/>
      <c r="D45" s="231">
        <v>2</v>
      </c>
      <c r="E45" s="231">
        <v>2</v>
      </c>
      <c r="F45" s="231"/>
      <c r="G45" s="231">
        <v>0</v>
      </c>
      <c r="H45" s="231">
        <v>0</v>
      </c>
      <c r="I45" s="264"/>
      <c r="J45" s="231">
        <v>0</v>
      </c>
      <c r="K45" s="265">
        <v>0</v>
      </c>
    </row>
    <row r="46" spans="1:11" ht="20.100000000000001" customHeight="1">
      <c r="A46" s="263" t="s">
        <v>93</v>
      </c>
      <c r="B46" s="231">
        <v>1</v>
      </c>
      <c r="C46" s="231"/>
      <c r="D46" s="231">
        <v>0</v>
      </c>
      <c r="E46" s="231">
        <v>0</v>
      </c>
      <c r="F46" s="231"/>
      <c r="G46" s="231">
        <v>0</v>
      </c>
      <c r="H46" s="231">
        <v>0</v>
      </c>
      <c r="I46" s="264"/>
      <c r="J46" s="231">
        <v>0</v>
      </c>
      <c r="K46" s="265">
        <v>0</v>
      </c>
    </row>
    <row r="47" spans="1:11" ht="20.100000000000001" customHeight="1">
      <c r="A47" s="263" t="s">
        <v>94</v>
      </c>
      <c r="B47" s="231">
        <v>0</v>
      </c>
      <c r="C47" s="231"/>
      <c r="D47" s="231">
        <v>0</v>
      </c>
      <c r="E47" s="231">
        <v>0</v>
      </c>
      <c r="F47" s="231"/>
      <c r="G47" s="231">
        <v>0</v>
      </c>
      <c r="H47" s="231">
        <v>0</v>
      </c>
      <c r="I47" s="264"/>
      <c r="J47" s="231">
        <v>0</v>
      </c>
      <c r="K47" s="265">
        <v>0</v>
      </c>
    </row>
    <row r="48" spans="1:11" ht="20.100000000000001" customHeight="1">
      <c r="A48" s="263" t="s">
        <v>95</v>
      </c>
      <c r="B48" s="231">
        <v>0</v>
      </c>
      <c r="C48" s="231"/>
      <c r="D48" s="231">
        <v>0</v>
      </c>
      <c r="E48" s="231">
        <v>0</v>
      </c>
      <c r="F48" s="231"/>
      <c r="G48" s="231">
        <v>0</v>
      </c>
      <c r="H48" s="231">
        <v>0</v>
      </c>
      <c r="I48" s="264"/>
      <c r="J48" s="231">
        <v>0</v>
      </c>
      <c r="K48" s="265">
        <v>0</v>
      </c>
    </row>
    <row r="49" spans="1:11" ht="20.100000000000001" customHeight="1">
      <c r="A49" s="263" t="s">
        <v>96</v>
      </c>
      <c r="B49" s="231">
        <v>3</v>
      </c>
      <c r="C49" s="231"/>
      <c r="D49" s="231">
        <v>2</v>
      </c>
      <c r="E49" s="231">
        <v>2</v>
      </c>
      <c r="F49" s="231"/>
      <c r="G49" s="231">
        <v>0</v>
      </c>
      <c r="H49" s="231">
        <v>0</v>
      </c>
      <c r="I49" s="264"/>
      <c r="J49" s="231">
        <v>0</v>
      </c>
      <c r="K49" s="265">
        <v>0</v>
      </c>
    </row>
    <row r="50" spans="1:11" ht="20.100000000000001" customHeight="1">
      <c r="A50" s="263" t="s">
        <v>97</v>
      </c>
      <c r="B50" s="231">
        <v>4</v>
      </c>
      <c r="C50" s="231"/>
      <c r="D50" s="231">
        <v>0</v>
      </c>
      <c r="E50" s="231">
        <v>0</v>
      </c>
      <c r="F50" s="231"/>
      <c r="G50" s="231">
        <v>0</v>
      </c>
      <c r="H50" s="231">
        <v>0</v>
      </c>
      <c r="I50" s="264"/>
      <c r="J50" s="231">
        <v>0</v>
      </c>
      <c r="K50" s="265">
        <v>0</v>
      </c>
    </row>
    <row r="51" spans="1:11" ht="20.100000000000001" customHeight="1">
      <c r="A51" s="263" t="s">
        <v>98</v>
      </c>
      <c r="B51" s="231">
        <v>3</v>
      </c>
      <c r="C51" s="231"/>
      <c r="D51" s="231">
        <v>0</v>
      </c>
      <c r="E51" s="231">
        <v>0</v>
      </c>
      <c r="F51" s="231"/>
      <c r="G51" s="231">
        <v>0</v>
      </c>
      <c r="H51" s="231">
        <v>0</v>
      </c>
      <c r="I51" s="264"/>
      <c r="J51" s="231">
        <v>0</v>
      </c>
      <c r="K51" s="265">
        <v>0</v>
      </c>
    </row>
    <row r="52" spans="1:11" ht="20.100000000000001" customHeight="1">
      <c r="A52" s="263" t="s">
        <v>99</v>
      </c>
      <c r="B52" s="231">
        <v>6</v>
      </c>
      <c r="C52" s="231"/>
      <c r="D52" s="231">
        <v>0</v>
      </c>
      <c r="E52" s="231">
        <v>0</v>
      </c>
      <c r="F52" s="231"/>
      <c r="G52" s="231">
        <v>0</v>
      </c>
      <c r="H52" s="231">
        <v>0</v>
      </c>
      <c r="I52" s="264"/>
      <c r="J52" s="231">
        <v>0</v>
      </c>
      <c r="K52" s="265">
        <v>0</v>
      </c>
    </row>
    <row r="53" spans="1:11" ht="20.100000000000001" customHeight="1" thickBot="1">
      <c r="A53" s="266" t="s">
        <v>100</v>
      </c>
      <c r="B53" s="267">
        <v>62</v>
      </c>
      <c r="C53" s="267"/>
      <c r="D53" s="267">
        <v>3</v>
      </c>
      <c r="E53" s="267">
        <v>0</v>
      </c>
      <c r="F53" s="267"/>
      <c r="G53" s="267">
        <v>0</v>
      </c>
      <c r="H53" s="267">
        <v>0</v>
      </c>
      <c r="I53" s="268"/>
      <c r="J53" s="267">
        <v>0</v>
      </c>
      <c r="K53" s="269">
        <v>0</v>
      </c>
    </row>
    <row r="54" spans="1:11" ht="59.25" customHeight="1" thickBot="1">
      <c r="A54" s="104" t="s">
        <v>27</v>
      </c>
      <c r="B54" s="234">
        <f>SUM(B44:B53)</f>
        <v>81</v>
      </c>
      <c r="C54" s="234">
        <f t="shared" ref="C54:K54" si="0">SUM(C44:C53)</f>
        <v>0</v>
      </c>
      <c r="D54" s="234">
        <f t="shared" si="0"/>
        <v>7</v>
      </c>
      <c r="E54" s="234">
        <f t="shared" si="0"/>
        <v>4</v>
      </c>
      <c r="F54" s="234">
        <f t="shared" si="0"/>
        <v>0</v>
      </c>
      <c r="G54" s="234">
        <f t="shared" si="0"/>
        <v>0</v>
      </c>
      <c r="H54" s="234">
        <f t="shared" si="0"/>
        <v>0</v>
      </c>
      <c r="I54" s="234">
        <f t="shared" si="0"/>
        <v>0</v>
      </c>
      <c r="J54" s="234">
        <f t="shared" si="0"/>
        <v>0</v>
      </c>
      <c r="K54" s="234">
        <f t="shared" si="0"/>
        <v>0</v>
      </c>
    </row>
    <row r="55" spans="1:11" ht="20.100000000000001" customHeight="1">
      <c r="C55" s="38"/>
      <c r="F55" s="93"/>
      <c r="G55" s="90"/>
      <c r="H55" s="95"/>
      <c r="I55" s="93"/>
      <c r="J55" s="105"/>
      <c r="K55" s="105"/>
    </row>
    <row r="56" spans="1:11" ht="19.5" customHeight="1">
      <c r="A56" s="106"/>
      <c r="B56" s="76"/>
      <c r="C56" s="47"/>
      <c r="D56" s="62"/>
      <c r="E56" s="62"/>
      <c r="F56" s="47"/>
      <c r="I56" s="47"/>
      <c r="J56" s="94"/>
      <c r="K56" s="94"/>
    </row>
    <row r="57" spans="1:11" ht="20.100000000000001" customHeight="1" thickBot="1">
      <c r="C57" s="47"/>
      <c r="D57" s="62"/>
      <c r="E57" s="62"/>
      <c r="F57" s="93"/>
      <c r="G57" s="47"/>
      <c r="H57" s="105"/>
      <c r="I57" s="93"/>
      <c r="J57" s="38"/>
      <c r="K57" s="38"/>
    </row>
    <row r="58" spans="1:11" ht="20.100000000000001" customHeight="1" thickBot="1">
      <c r="A58" s="512" t="s">
        <v>101</v>
      </c>
      <c r="B58" s="501"/>
      <c r="C58" s="501"/>
      <c r="D58" s="501"/>
      <c r="E58" s="501"/>
      <c r="F58" s="501"/>
      <c r="G58" s="501"/>
      <c r="H58" s="501"/>
      <c r="I58" s="501"/>
      <c r="J58" s="501"/>
      <c r="K58" s="513"/>
    </row>
    <row r="59" spans="1:11" ht="18" customHeight="1">
      <c r="A59" s="107"/>
      <c r="B59" s="108"/>
      <c r="C59" s="109"/>
      <c r="D59" s="110" t="s">
        <v>102</v>
      </c>
      <c r="E59" s="164" t="s">
        <v>103</v>
      </c>
      <c r="F59" s="165"/>
      <c r="G59" s="510" t="s">
        <v>104</v>
      </c>
      <c r="H59" s="511"/>
      <c r="I59" s="111"/>
      <c r="J59" s="164" t="s">
        <v>105</v>
      </c>
      <c r="K59" s="112" t="s">
        <v>106</v>
      </c>
    </row>
    <row r="60" spans="1:11" ht="20.100000000000001" customHeight="1">
      <c r="A60" s="235" t="s">
        <v>197</v>
      </c>
      <c r="B60" s="236"/>
      <c r="C60" s="237"/>
      <c r="D60" s="238">
        <v>10</v>
      </c>
      <c r="E60" s="514">
        <v>2</v>
      </c>
      <c r="F60" s="515"/>
      <c r="G60" s="516">
        <v>99</v>
      </c>
      <c r="H60" s="517"/>
      <c r="I60" s="238"/>
      <c r="J60" s="239">
        <v>0</v>
      </c>
      <c r="K60" s="240">
        <v>87</v>
      </c>
    </row>
    <row r="61" spans="1:11" ht="20.100000000000001" customHeight="1">
      <c r="A61" s="506" t="s">
        <v>198</v>
      </c>
      <c r="B61" s="507"/>
      <c r="C61" s="241"/>
      <c r="D61" s="238">
        <v>2</v>
      </c>
      <c r="E61" s="508">
        <v>0</v>
      </c>
      <c r="F61" s="509"/>
      <c r="G61" s="508">
        <v>0</v>
      </c>
      <c r="H61" s="509"/>
      <c r="I61" s="239"/>
      <c r="J61" s="242">
        <v>0</v>
      </c>
      <c r="K61" s="242">
        <v>0</v>
      </c>
    </row>
    <row r="62" spans="1:11" ht="20.100000000000001" customHeight="1">
      <c r="A62" s="273" t="s">
        <v>210</v>
      </c>
      <c r="B62" s="274"/>
      <c r="C62" s="241"/>
      <c r="D62" s="238"/>
      <c r="E62" s="276"/>
      <c r="F62" s="277"/>
      <c r="G62" s="276"/>
      <c r="H62" s="277"/>
      <c r="I62" s="239"/>
      <c r="J62" s="242"/>
      <c r="K62" s="242"/>
    </row>
    <row r="63" spans="1:11" ht="20.100000000000001" customHeight="1">
      <c r="A63" s="506" t="s">
        <v>17</v>
      </c>
      <c r="B63" s="507"/>
      <c r="C63" s="241"/>
      <c r="D63" s="238">
        <v>1</v>
      </c>
      <c r="E63" s="508">
        <v>0</v>
      </c>
      <c r="F63" s="509"/>
      <c r="G63" s="508">
        <v>0</v>
      </c>
      <c r="H63" s="509"/>
      <c r="I63" s="239"/>
      <c r="J63" s="242">
        <v>0</v>
      </c>
      <c r="K63" s="242">
        <v>0</v>
      </c>
    </row>
    <row r="64" spans="1:11" ht="20.100000000000001" customHeight="1">
      <c r="A64" s="273" t="s">
        <v>211</v>
      </c>
      <c r="B64" s="274"/>
      <c r="C64" s="241"/>
      <c r="D64" s="238"/>
      <c r="E64" s="276"/>
      <c r="F64" s="277"/>
      <c r="G64" s="276"/>
      <c r="H64" s="277"/>
      <c r="I64" s="239"/>
      <c r="J64" s="242"/>
      <c r="K64" s="275"/>
    </row>
    <row r="65" spans="1:11" ht="19.5" customHeight="1">
      <c r="A65" s="506" t="s">
        <v>18</v>
      </c>
      <c r="B65" s="507"/>
      <c r="C65" s="241"/>
      <c r="D65" s="238">
        <v>4</v>
      </c>
      <c r="E65" s="514">
        <v>0</v>
      </c>
      <c r="F65" s="515"/>
      <c r="G65" s="516">
        <v>30</v>
      </c>
      <c r="H65" s="517"/>
      <c r="I65" s="239"/>
      <c r="J65" s="239">
        <v>0</v>
      </c>
      <c r="K65" s="243">
        <v>230</v>
      </c>
    </row>
    <row r="66" spans="1:11" ht="20.100000000000001" customHeight="1">
      <c r="A66" s="506" t="s">
        <v>199</v>
      </c>
      <c r="B66" s="507"/>
      <c r="C66" s="241"/>
      <c r="D66" s="238">
        <v>0</v>
      </c>
      <c r="E66" s="508">
        <v>0</v>
      </c>
      <c r="F66" s="509"/>
      <c r="G66" s="508">
        <v>0</v>
      </c>
      <c r="H66" s="509"/>
      <c r="I66" s="239"/>
      <c r="J66" s="242">
        <v>0</v>
      </c>
      <c r="K66" s="242">
        <v>0</v>
      </c>
    </row>
    <row r="67" spans="1:11" ht="20.100000000000001" customHeight="1">
      <c r="A67" s="506" t="s">
        <v>21</v>
      </c>
      <c r="B67" s="507"/>
      <c r="C67" s="241"/>
      <c r="D67" s="238">
        <v>0</v>
      </c>
      <c r="E67" s="508">
        <v>0</v>
      </c>
      <c r="F67" s="509"/>
      <c r="G67" s="508">
        <v>0</v>
      </c>
      <c r="H67" s="509"/>
      <c r="I67" s="239"/>
      <c r="J67" s="242">
        <v>0</v>
      </c>
      <c r="K67" s="242">
        <v>0</v>
      </c>
    </row>
    <row r="68" spans="1:11" ht="20.100000000000001" customHeight="1">
      <c r="A68" s="506" t="s">
        <v>20</v>
      </c>
      <c r="B68" s="507"/>
      <c r="C68" s="241"/>
      <c r="D68" s="238">
        <v>12</v>
      </c>
      <c r="E68" s="514">
        <v>4</v>
      </c>
      <c r="F68" s="515"/>
      <c r="G68" s="516">
        <v>414</v>
      </c>
      <c r="H68" s="517"/>
      <c r="I68" s="239"/>
      <c r="J68" s="239">
        <v>6</v>
      </c>
      <c r="K68" s="240">
        <v>243</v>
      </c>
    </row>
    <row r="69" spans="1:11" ht="20.100000000000001" customHeight="1">
      <c r="A69" s="506" t="s">
        <v>22</v>
      </c>
      <c r="B69" s="507"/>
      <c r="C69" s="241"/>
      <c r="D69" s="238">
        <v>2</v>
      </c>
      <c r="E69" s="514">
        <v>0</v>
      </c>
      <c r="F69" s="515"/>
      <c r="G69" s="516">
        <v>114</v>
      </c>
      <c r="H69" s="517"/>
      <c r="I69" s="239"/>
      <c r="J69" s="239">
        <v>0</v>
      </c>
      <c r="K69" s="240">
        <v>66</v>
      </c>
    </row>
    <row r="70" spans="1:11" ht="20.100000000000001" customHeight="1">
      <c r="A70" s="518" t="s">
        <v>107</v>
      </c>
      <c r="B70" s="519"/>
      <c r="C70" s="241"/>
      <c r="D70" s="238">
        <v>4</v>
      </c>
      <c r="E70" s="514">
        <v>3</v>
      </c>
      <c r="F70" s="515"/>
      <c r="G70" s="516">
        <v>115</v>
      </c>
      <c r="H70" s="517"/>
      <c r="I70" s="239"/>
      <c r="J70" s="239">
        <v>0</v>
      </c>
      <c r="K70" s="240">
        <v>77</v>
      </c>
    </row>
    <row r="71" spans="1:11" ht="20.100000000000001" customHeight="1">
      <c r="A71" s="518" t="s">
        <v>108</v>
      </c>
      <c r="B71" s="519"/>
      <c r="C71" s="241"/>
      <c r="D71" s="238">
        <v>2</v>
      </c>
      <c r="E71" s="514">
        <v>2</v>
      </c>
      <c r="F71" s="515"/>
      <c r="G71" s="516">
        <v>29</v>
      </c>
      <c r="H71" s="517"/>
      <c r="I71" s="239"/>
      <c r="J71" s="239">
        <v>0</v>
      </c>
      <c r="K71" s="240">
        <v>0</v>
      </c>
    </row>
    <row r="72" spans="1:11" ht="20.100000000000001" customHeight="1">
      <c r="A72" s="518" t="s">
        <v>109</v>
      </c>
      <c r="B72" s="519"/>
      <c r="C72" s="241"/>
      <c r="D72" s="238">
        <v>0</v>
      </c>
      <c r="E72" s="514">
        <v>0</v>
      </c>
      <c r="F72" s="515"/>
      <c r="G72" s="516">
        <v>8</v>
      </c>
      <c r="H72" s="517"/>
      <c r="I72" s="239"/>
      <c r="J72" s="239">
        <v>0</v>
      </c>
      <c r="K72" s="240">
        <v>13</v>
      </c>
    </row>
    <row r="73" spans="1:11" ht="20.100000000000001" customHeight="1" thickBot="1">
      <c r="A73" s="525" t="s">
        <v>110</v>
      </c>
      <c r="B73" s="526"/>
      <c r="C73" s="244"/>
      <c r="D73" s="245">
        <v>0</v>
      </c>
      <c r="E73" s="522">
        <v>0</v>
      </c>
      <c r="F73" s="523"/>
      <c r="G73" s="527">
        <v>0</v>
      </c>
      <c r="H73" s="528"/>
      <c r="I73" s="239"/>
      <c r="J73" s="239">
        <v>0</v>
      </c>
      <c r="K73" s="240">
        <v>0</v>
      </c>
    </row>
    <row r="74" spans="1:11" ht="20.100000000000001" customHeight="1" thickBot="1">
      <c r="A74" s="529" t="s">
        <v>27</v>
      </c>
      <c r="B74" s="530"/>
      <c r="C74" s="113"/>
      <c r="D74" s="114">
        <f>SUM(D60:D73)</f>
        <v>37</v>
      </c>
      <c r="E74" s="531">
        <f>SUM(E60:F73)</f>
        <v>11</v>
      </c>
      <c r="F74" s="532"/>
      <c r="G74" s="531">
        <f>SUM(G60:H73)</f>
        <v>809</v>
      </c>
      <c r="H74" s="532"/>
      <c r="I74" s="113"/>
      <c r="J74" s="114">
        <f>SUM(J60:J73)</f>
        <v>6</v>
      </c>
      <c r="K74" s="115">
        <f>SUM(K60:K73)</f>
        <v>716</v>
      </c>
    </row>
    <row r="75" spans="1:11" ht="20.100000000000001" customHeight="1" thickBot="1">
      <c r="A75" s="512" t="s">
        <v>101</v>
      </c>
      <c r="B75" s="501"/>
      <c r="C75" s="501"/>
      <c r="D75" s="501"/>
      <c r="E75" s="501"/>
      <c r="F75" s="501"/>
      <c r="G75" s="501"/>
      <c r="H75" s="501"/>
      <c r="I75" s="501"/>
      <c r="J75" s="501"/>
      <c r="K75" s="513"/>
    </row>
    <row r="76" spans="1:11" ht="20.100000000000001" customHeight="1">
      <c r="A76" s="536" t="s">
        <v>169</v>
      </c>
      <c r="B76" s="110" t="s">
        <v>102</v>
      </c>
      <c r="C76" s="246"/>
      <c r="D76" s="166" t="s">
        <v>200</v>
      </c>
      <c r="E76" s="510" t="s">
        <v>201</v>
      </c>
      <c r="F76" s="511"/>
      <c r="G76" s="166" t="s">
        <v>202</v>
      </c>
      <c r="H76" s="510" t="s">
        <v>203</v>
      </c>
      <c r="I76" s="511"/>
      <c r="J76" s="166" t="s">
        <v>204</v>
      </c>
      <c r="K76" s="247" t="s">
        <v>205</v>
      </c>
    </row>
    <row r="77" spans="1:11" ht="20.100000000000001" customHeight="1" thickBot="1">
      <c r="A77" s="537"/>
      <c r="B77" s="245">
        <v>7</v>
      </c>
      <c r="C77" s="522">
        <v>2</v>
      </c>
      <c r="D77" s="523"/>
      <c r="E77" s="527">
        <v>46</v>
      </c>
      <c r="F77" s="528"/>
      <c r="G77" s="245">
        <v>0</v>
      </c>
      <c r="H77" s="527">
        <v>47</v>
      </c>
      <c r="I77" s="538"/>
      <c r="J77" s="248">
        <v>0</v>
      </c>
      <c r="K77" s="249">
        <v>1</v>
      </c>
    </row>
    <row r="78" spans="1:11" ht="20.100000000000001" customHeight="1">
      <c r="A78" s="125" t="s">
        <v>122</v>
      </c>
      <c r="B78" s="125"/>
      <c r="C78" s="13"/>
      <c r="D78" s="118"/>
      <c r="E78" s="77"/>
    </row>
    <row r="79" spans="1:11" ht="20.100000000000001" customHeight="1">
      <c r="A79" s="116" t="s">
        <v>111</v>
      </c>
      <c r="B79" s="117"/>
      <c r="C79" s="13"/>
      <c r="D79" s="118"/>
      <c r="E79" s="77"/>
    </row>
    <row r="80" spans="1:11" ht="20.100000000000001" customHeight="1">
      <c r="A80" s="116" t="s">
        <v>112</v>
      </c>
      <c r="B80" s="117"/>
      <c r="C80" s="13"/>
      <c r="D80" s="118"/>
      <c r="E80" s="77"/>
    </row>
    <row r="81" spans="1:11" ht="20.100000000000001" customHeight="1">
      <c r="A81" s="116" t="s">
        <v>113</v>
      </c>
      <c r="B81" s="117"/>
      <c r="C81" s="13"/>
      <c r="D81" s="90"/>
      <c r="E81" s="77"/>
    </row>
    <row r="82" spans="1:11" ht="20.100000000000001" customHeight="1" thickBot="1">
      <c r="A82" s="119"/>
      <c r="B82" s="117"/>
      <c r="C82" s="13"/>
      <c r="D82" s="90"/>
      <c r="E82" s="77"/>
    </row>
    <row r="83" spans="1:11" ht="20.100000000000001" customHeight="1" thickBot="1">
      <c r="A83" s="533" t="s">
        <v>114</v>
      </c>
      <c r="B83" s="534"/>
      <c r="C83" s="534"/>
      <c r="D83" s="534"/>
      <c r="E83" s="534"/>
      <c r="F83" s="534"/>
      <c r="G83" s="534"/>
      <c r="H83" s="534"/>
      <c r="I83" s="534"/>
      <c r="J83" s="534"/>
      <c r="K83" s="535"/>
    </row>
    <row r="84" spans="1:11" s="75" customFormat="1" ht="20.100000000000001" customHeight="1" thickBot="1">
      <c r="A84" s="250"/>
      <c r="B84" s="121"/>
      <c r="C84" s="121"/>
      <c r="D84" s="121"/>
      <c r="E84" s="121"/>
      <c r="F84" s="121"/>
      <c r="G84" s="121"/>
      <c r="H84" s="121"/>
      <c r="I84" s="121"/>
      <c r="J84" s="121"/>
      <c r="K84" s="251" t="s">
        <v>38</v>
      </c>
    </row>
    <row r="85" spans="1:11" ht="20.100000000000001" customHeight="1" thickBot="1">
      <c r="A85" s="520" t="s">
        <v>115</v>
      </c>
      <c r="B85" s="521"/>
      <c r="C85" s="162"/>
      <c r="D85" s="162"/>
      <c r="E85" s="162"/>
      <c r="F85" s="162"/>
      <c r="G85" s="162"/>
      <c r="H85" s="162"/>
      <c r="I85" s="162"/>
      <c r="J85" s="162"/>
      <c r="K85" s="157">
        <v>80</v>
      </c>
    </row>
    <row r="86" spans="1:11" ht="20.100000000000001" customHeight="1" thickBot="1">
      <c r="A86" s="252" t="s">
        <v>116</v>
      </c>
      <c r="B86" s="253"/>
      <c r="C86" s="253"/>
      <c r="D86" s="253"/>
      <c r="E86" s="253"/>
      <c r="F86" s="253"/>
      <c r="G86" s="253"/>
      <c r="H86" s="253"/>
      <c r="I86" s="253"/>
      <c r="J86" s="253"/>
      <c r="K86" s="80">
        <v>51</v>
      </c>
    </row>
    <row r="87" spans="1:11" ht="20.100000000000001" customHeight="1" thickBot="1">
      <c r="A87" s="539" t="s">
        <v>117</v>
      </c>
      <c r="B87" s="540"/>
      <c r="C87" s="254"/>
      <c r="D87" s="254"/>
      <c r="E87" s="254"/>
      <c r="F87" s="254"/>
      <c r="G87" s="254"/>
      <c r="H87" s="254"/>
      <c r="I87" s="254"/>
      <c r="J87" s="254"/>
      <c r="K87" s="157">
        <v>25</v>
      </c>
    </row>
    <row r="88" spans="1:11" ht="20.100000000000001" customHeight="1" thickBot="1">
      <c r="A88" s="255" t="s">
        <v>118</v>
      </c>
      <c r="B88" s="256"/>
      <c r="C88" s="256"/>
      <c r="D88" s="256"/>
      <c r="E88" s="256"/>
      <c r="F88" s="256"/>
      <c r="G88" s="256"/>
      <c r="H88" s="256"/>
      <c r="I88" s="256"/>
      <c r="J88" s="256"/>
      <c r="K88" s="80">
        <v>13</v>
      </c>
    </row>
    <row r="89" spans="1:11" ht="20.100000000000001" customHeight="1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</row>
    <row r="90" spans="1:11" ht="20.100000000000001" customHeight="1" thickBot="1"/>
    <row r="91" spans="1:11" ht="20.100000000000001" customHeight="1" thickBot="1">
      <c r="A91" s="512" t="s">
        <v>119</v>
      </c>
      <c r="B91" s="501"/>
      <c r="C91" s="501"/>
      <c r="D91" s="501"/>
      <c r="E91" s="501"/>
      <c r="F91" s="501"/>
      <c r="G91" s="501"/>
      <c r="H91" s="501"/>
      <c r="I91" s="501"/>
      <c r="J91" s="501"/>
      <c r="K91" s="513"/>
    </row>
    <row r="92" spans="1:11" s="75" customFormat="1" ht="20.100000000000001" customHeight="1" thickBot="1">
      <c r="A92" s="121"/>
      <c r="B92" s="121"/>
      <c r="C92" s="121"/>
      <c r="D92" s="121"/>
      <c r="E92" s="121"/>
      <c r="F92" s="121"/>
      <c r="G92" s="121"/>
      <c r="H92" s="121"/>
      <c r="I92" s="121"/>
      <c r="J92" s="121"/>
      <c r="K92" s="257" t="s">
        <v>38</v>
      </c>
    </row>
    <row r="93" spans="1:11" ht="20.100000000000001" customHeight="1" thickBot="1">
      <c r="A93" s="159" t="s">
        <v>120</v>
      </c>
      <c r="B93" s="160"/>
      <c r="C93" s="160"/>
      <c r="D93" s="160"/>
      <c r="E93" s="160"/>
      <c r="F93" s="160"/>
      <c r="G93" s="160"/>
      <c r="H93" s="160"/>
      <c r="I93" s="160"/>
      <c r="J93" s="160"/>
      <c r="K93" s="44">
        <v>3533</v>
      </c>
    </row>
    <row r="94" spans="1:11" ht="20.100000000000001" customHeight="1" thickBot="1">
      <c r="A94" s="258" t="s">
        <v>121</v>
      </c>
      <c r="B94" s="259"/>
      <c r="C94" s="259"/>
      <c r="D94" s="259"/>
      <c r="E94" s="259"/>
      <c r="F94" s="259"/>
      <c r="G94" s="259"/>
      <c r="H94" s="259"/>
      <c r="I94" s="259"/>
      <c r="J94" s="259"/>
      <c r="K94" s="260">
        <v>0.95</v>
      </c>
    </row>
    <row r="95" spans="1:11" ht="20.100000000000001" customHeight="1">
      <c r="A95" s="122"/>
      <c r="B95" s="47"/>
    </row>
    <row r="96" spans="1:11" ht="20.100000000000001" customHeight="1">
      <c r="A96" s="13"/>
      <c r="B96" s="13"/>
      <c r="C96" s="13"/>
      <c r="D96" s="93"/>
      <c r="E96" s="47"/>
    </row>
    <row r="97" spans="1:4" ht="20.100000000000001" customHeight="1">
      <c r="A97" s="123"/>
      <c r="B97" s="124"/>
      <c r="C97" s="13"/>
      <c r="D97" s="90"/>
    </row>
    <row r="98" spans="1:4" ht="20.100000000000001" customHeight="1">
      <c r="A98" s="117"/>
      <c r="B98" s="13"/>
      <c r="C98" s="13"/>
      <c r="D98" s="168"/>
    </row>
    <row r="99" spans="1:4" ht="20.100000000000001" customHeight="1">
      <c r="A99" s="524"/>
      <c r="B99" s="524"/>
      <c r="C99" s="13"/>
      <c r="D99" s="168"/>
    </row>
    <row r="100" spans="1:4" ht="20.100000000000001" customHeight="1">
      <c r="A100" s="117"/>
      <c r="B100" s="117"/>
      <c r="C100" s="13"/>
      <c r="D100" s="47"/>
    </row>
    <row r="101" spans="1:4" ht="20.100000000000001" customHeight="1">
      <c r="A101" s="117"/>
      <c r="B101" s="117"/>
      <c r="C101" s="13"/>
      <c r="D101" s="13"/>
    </row>
    <row r="102" spans="1:4" ht="20.100000000000001" customHeight="1">
      <c r="A102" s="117"/>
      <c r="B102" s="117"/>
      <c r="C102" s="13"/>
      <c r="D102" s="13"/>
    </row>
    <row r="103" spans="1:4" ht="20.100000000000001" customHeight="1">
      <c r="A103" s="117"/>
      <c r="B103" s="117"/>
      <c r="C103" s="13"/>
      <c r="D103" s="13"/>
    </row>
    <row r="104" spans="1:4" ht="20.100000000000001" customHeight="1">
      <c r="A104" s="13"/>
      <c r="B104" s="13"/>
      <c r="C104" s="13"/>
      <c r="D104" s="13"/>
    </row>
    <row r="105" spans="1:4" ht="20.100000000000001" customHeight="1"/>
    <row r="106" spans="1:4" ht="20.100000000000001" customHeight="1"/>
    <row r="107" spans="1:4" ht="20.100000000000001" customHeight="1"/>
    <row r="108" spans="1:4" ht="20.100000000000001" customHeight="1"/>
    <row r="109" spans="1:4" ht="20.100000000000001" customHeight="1"/>
    <row r="110" spans="1:4" ht="20.100000000000001" customHeight="1"/>
    <row r="111" spans="1:4" ht="20.100000000000001" customHeight="1"/>
    <row r="112" spans="1:4" ht="20.100000000000001" customHeight="1"/>
    <row r="113" spans="4:5" ht="20.100000000000001" customHeight="1"/>
    <row r="114" spans="4:5" ht="20.100000000000001" customHeight="1"/>
    <row r="115" spans="4:5" ht="20.100000000000001" customHeight="1">
      <c r="D115" s="38"/>
      <c r="E115" s="38"/>
    </row>
    <row r="116" spans="4:5" ht="20.100000000000001" customHeight="1">
      <c r="D116" s="38"/>
      <c r="E116" s="38"/>
    </row>
    <row r="117" spans="4:5" ht="20.100000000000001" customHeight="1">
      <c r="D117" s="93"/>
      <c r="E117" s="93"/>
    </row>
    <row r="118" spans="4:5" ht="20.100000000000001" customHeight="1">
      <c r="D118" s="47"/>
      <c r="E118" s="47"/>
    </row>
    <row r="119" spans="4:5" ht="20.100000000000001" customHeight="1">
      <c r="D119" s="47"/>
      <c r="E119" s="47"/>
    </row>
    <row r="120" spans="4:5" ht="20.100000000000001" customHeight="1">
      <c r="D120" s="124"/>
      <c r="E120" s="124"/>
    </row>
    <row r="121" spans="4:5" ht="20.100000000000001" customHeight="1">
      <c r="D121" s="13"/>
      <c r="E121" s="13"/>
    </row>
    <row r="122" spans="4:5" ht="20.100000000000001" customHeight="1">
      <c r="D122" s="161"/>
      <c r="E122" s="161"/>
    </row>
    <row r="123" spans="4:5" ht="20.100000000000001" customHeight="1">
      <c r="D123" s="117"/>
      <c r="E123" s="117"/>
    </row>
    <row r="124" spans="4:5" ht="20.100000000000001" customHeight="1">
      <c r="D124" s="117"/>
      <c r="E124" s="117"/>
    </row>
    <row r="125" spans="4:5" ht="20.100000000000001" customHeight="1">
      <c r="D125" s="117"/>
      <c r="E125" s="117"/>
    </row>
    <row r="126" spans="4:5" ht="20.100000000000001" customHeight="1">
      <c r="D126" s="117"/>
      <c r="E126" s="117"/>
    </row>
    <row r="127" spans="4:5" ht="20.100000000000001" customHeight="1"/>
    <row r="128" spans="4:5" ht="20.100000000000001" customHeight="1">
      <c r="E128" s="47"/>
    </row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</sheetData>
  <sheetProtection selectLockedCells="1" selectUnlockedCells="1"/>
  <mergeCells count="66">
    <mergeCell ref="A99:B99"/>
    <mergeCell ref="A73:B73"/>
    <mergeCell ref="E73:F73"/>
    <mergeCell ref="G73:H73"/>
    <mergeCell ref="A74:B74"/>
    <mergeCell ref="E74:F74"/>
    <mergeCell ref="G74:H74"/>
    <mergeCell ref="A75:K75"/>
    <mergeCell ref="A83:K83"/>
    <mergeCell ref="A76:A77"/>
    <mergeCell ref="E76:F76"/>
    <mergeCell ref="H76:I76"/>
    <mergeCell ref="H77:I77"/>
    <mergeCell ref="E77:F77"/>
    <mergeCell ref="A87:B87"/>
    <mergeCell ref="A91:K91"/>
    <mergeCell ref="A85:B85"/>
    <mergeCell ref="A68:B68"/>
    <mergeCell ref="E68:F68"/>
    <mergeCell ref="G68:H68"/>
    <mergeCell ref="A69:B69"/>
    <mergeCell ref="E69:F69"/>
    <mergeCell ref="G69:H69"/>
    <mergeCell ref="G70:H70"/>
    <mergeCell ref="A71:B71"/>
    <mergeCell ref="E71:F71"/>
    <mergeCell ref="G71:H71"/>
    <mergeCell ref="G72:H72"/>
    <mergeCell ref="A72:B72"/>
    <mergeCell ref="E72:F72"/>
    <mergeCell ref="C77:D77"/>
    <mergeCell ref="A65:B65"/>
    <mergeCell ref="E65:F65"/>
    <mergeCell ref="A70:B70"/>
    <mergeCell ref="E70:F70"/>
    <mergeCell ref="G65:H65"/>
    <mergeCell ref="A66:B66"/>
    <mergeCell ref="E66:F66"/>
    <mergeCell ref="G66:H66"/>
    <mergeCell ref="A67:B67"/>
    <mergeCell ref="E67:F67"/>
    <mergeCell ref="G67:H67"/>
    <mergeCell ref="A63:B63"/>
    <mergeCell ref="E63:F63"/>
    <mergeCell ref="G63:H63"/>
    <mergeCell ref="G59:H59"/>
    <mergeCell ref="G28:H28"/>
    <mergeCell ref="A42:K42"/>
    <mergeCell ref="A58:K58"/>
    <mergeCell ref="E60:F60"/>
    <mergeCell ref="G60:H60"/>
    <mergeCell ref="A61:B61"/>
    <mergeCell ref="E61:F61"/>
    <mergeCell ref="G61:H61"/>
    <mergeCell ref="A21:B21"/>
    <mergeCell ref="G21:H21"/>
    <mergeCell ref="A26:K26"/>
    <mergeCell ref="G33:H33"/>
    <mergeCell ref="D36:D37"/>
    <mergeCell ref="G16:H16"/>
    <mergeCell ref="J16:K16"/>
    <mergeCell ref="A2:K2"/>
    <mergeCell ref="B5:K5"/>
    <mergeCell ref="A9:K9"/>
    <mergeCell ref="B10:G10"/>
    <mergeCell ref="A14:K14"/>
  </mergeCells>
  <printOptions horizontalCentered="1"/>
  <pageMargins left="0.51181102362204722" right="0.51181102362204722" top="0.78740157480314965" bottom="0.78740157480314965" header="0.51181102362204722" footer="0.51181102362204722"/>
  <pageSetup paperSize="9" scale="37" firstPageNumber="0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29"/>
  <sheetViews>
    <sheetView showGridLines="0" view="pageBreakPreview" topLeftCell="A19" zoomScale="71" zoomScaleSheetLayoutView="71" workbookViewId="0">
      <selection activeCell="E30" sqref="E30"/>
    </sheetView>
  </sheetViews>
  <sheetFormatPr defaultColWidth="28.140625" defaultRowHeight="15"/>
  <cols>
    <col min="1" max="1" width="42" style="1" customWidth="1"/>
    <col min="2" max="2" width="19.85546875" style="1" customWidth="1"/>
    <col min="3" max="3" width="4.140625" style="1" customWidth="1"/>
    <col min="4" max="4" width="37.7109375" style="1" customWidth="1"/>
    <col min="5" max="5" width="18.7109375" style="1" customWidth="1"/>
    <col min="6" max="6" width="5.140625" style="1" customWidth="1"/>
    <col min="7" max="7" width="34.140625" style="1" customWidth="1"/>
    <col min="8" max="8" width="13.28515625" style="1" bestFit="1" customWidth="1"/>
    <col min="9" max="9" width="5.140625" style="1" customWidth="1"/>
    <col min="10" max="10" width="27.85546875" style="1" customWidth="1"/>
    <col min="11" max="11" width="30.85546875" style="1" customWidth="1"/>
    <col min="12" max="16384" width="28.140625" style="1"/>
  </cols>
  <sheetData>
    <row r="1" spans="1:13" ht="20.100000000000001" customHeight="1">
      <c r="L1" s="56"/>
      <c r="M1" s="56"/>
    </row>
    <row r="2" spans="1:13" ht="20.100000000000001" customHeight="1">
      <c r="A2" s="499"/>
      <c r="B2" s="499"/>
      <c r="C2" s="499"/>
      <c r="D2" s="499"/>
      <c r="E2" s="499"/>
      <c r="F2" s="499"/>
      <c r="G2" s="499"/>
      <c r="H2" s="499"/>
      <c r="I2" s="499"/>
      <c r="J2" s="499"/>
      <c r="K2" s="499"/>
    </row>
    <row r="3" spans="1:13" ht="20.100000000000001" customHeight="1"/>
    <row r="4" spans="1:13" ht="20.100000000000001" customHeight="1"/>
    <row r="5" spans="1:13" ht="20.100000000000001" customHeight="1">
      <c r="A5" s="57"/>
      <c r="B5" s="499"/>
      <c r="C5" s="499"/>
      <c r="D5" s="499"/>
      <c r="E5" s="499"/>
      <c r="F5" s="499"/>
      <c r="G5" s="499"/>
      <c r="H5" s="499"/>
      <c r="I5" s="499"/>
      <c r="J5" s="499"/>
      <c r="K5" s="499"/>
    </row>
    <row r="6" spans="1:13" ht="20.100000000000001" customHeight="1">
      <c r="A6" s="57"/>
      <c r="B6" s="167"/>
      <c r="C6" s="167"/>
      <c r="D6" s="167"/>
      <c r="E6" s="167"/>
      <c r="F6" s="167"/>
      <c r="G6" s="167"/>
      <c r="H6" s="167"/>
      <c r="I6" s="167"/>
      <c r="J6" s="167"/>
      <c r="K6" s="167"/>
    </row>
    <row r="7" spans="1:13" ht="20.100000000000001" customHeight="1">
      <c r="A7" s="57"/>
      <c r="B7" s="167"/>
      <c r="C7" s="167"/>
      <c r="D7" s="167"/>
      <c r="E7" s="167"/>
      <c r="F7" s="167"/>
      <c r="G7" s="167"/>
      <c r="H7" s="167"/>
      <c r="I7" s="167"/>
      <c r="J7" s="167"/>
      <c r="K7" s="167"/>
    </row>
    <row r="8" spans="1:13" ht="20.100000000000001" customHeight="1">
      <c r="A8" s="57"/>
      <c r="B8" s="167"/>
      <c r="C8" s="167"/>
      <c r="D8" s="167"/>
      <c r="E8" s="167"/>
      <c r="F8" s="167"/>
      <c r="G8" s="167"/>
      <c r="H8" s="167"/>
      <c r="I8" s="167"/>
      <c r="J8" s="167"/>
      <c r="K8" s="167"/>
    </row>
    <row r="9" spans="1:13" ht="20.100000000000001" customHeight="1">
      <c r="A9" s="460" t="s">
        <v>0</v>
      </c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2"/>
      <c r="M9" s="2"/>
    </row>
    <row r="10" spans="1:13" s="4" customFormat="1" ht="20.100000000000001" customHeight="1">
      <c r="A10" s="58"/>
      <c r="B10" s="500"/>
      <c r="C10" s="500"/>
      <c r="D10" s="500"/>
      <c r="E10" s="500"/>
      <c r="F10" s="500"/>
      <c r="G10" s="500"/>
      <c r="H10" s="59"/>
      <c r="I10" s="59"/>
      <c r="J10" s="59"/>
      <c r="K10" s="59"/>
      <c r="L10" s="3"/>
      <c r="M10" s="3"/>
    </row>
    <row r="11" spans="1:13" s="4" customFormat="1" ht="20.100000000000001" customHeight="1">
      <c r="A11" s="60" t="s">
        <v>1</v>
      </c>
      <c r="B11" s="6" t="s">
        <v>186</v>
      </c>
      <c r="C11" s="7"/>
      <c r="D11" s="8"/>
      <c r="E11" s="9"/>
      <c r="F11" s="7"/>
      <c r="G11" s="7"/>
      <c r="H11" s="7"/>
      <c r="I11" s="10"/>
      <c r="J11" s="3"/>
      <c r="K11" s="3"/>
    </row>
    <row r="12" spans="1:13" ht="20.100000000000001" customHeight="1">
      <c r="A12" s="11" t="s">
        <v>2</v>
      </c>
      <c r="B12" s="12" t="s">
        <v>3</v>
      </c>
      <c r="D12" s="13"/>
      <c r="E12" s="13"/>
    </row>
    <row r="13" spans="1:13" ht="20.100000000000001" customHeight="1" thickBot="1">
      <c r="A13" s="11"/>
      <c r="B13" s="15"/>
      <c r="D13" s="13"/>
      <c r="E13" s="13"/>
    </row>
    <row r="14" spans="1:13" ht="20.100000000000001" customHeight="1" thickBot="1">
      <c r="A14" s="501" t="s">
        <v>53</v>
      </c>
      <c r="B14" s="501"/>
      <c r="C14" s="501"/>
      <c r="D14" s="501"/>
      <c r="E14" s="501"/>
      <c r="F14" s="501"/>
      <c r="G14" s="501"/>
      <c r="H14" s="501"/>
      <c r="I14" s="501"/>
      <c r="J14" s="501"/>
      <c r="K14" s="501"/>
      <c r="L14" s="14"/>
      <c r="M14" s="14"/>
    </row>
    <row r="15" spans="1:13" ht="20.100000000000001" customHeight="1" thickBot="1">
      <c r="A15" s="61"/>
      <c r="B15" s="61"/>
      <c r="C15" s="158"/>
      <c r="D15" s="62"/>
      <c r="E15" s="62"/>
      <c r="F15" s="158"/>
      <c r="G15" s="63"/>
      <c r="H15" s="38"/>
      <c r="I15" s="38"/>
      <c r="J15" s="64"/>
      <c r="K15" s="64"/>
    </row>
    <row r="16" spans="1:13" ht="20.100000000000001" customHeight="1" thickBot="1">
      <c r="A16" s="163" t="s">
        <v>54</v>
      </c>
      <c r="B16" s="215" t="s">
        <v>38</v>
      </c>
      <c r="C16" s="64"/>
      <c r="D16" s="163" t="s">
        <v>55</v>
      </c>
      <c r="E16" s="65" t="s">
        <v>38</v>
      </c>
      <c r="F16" s="64"/>
      <c r="G16" s="497" t="s">
        <v>56</v>
      </c>
      <c r="H16" s="498"/>
      <c r="J16" s="497" t="s">
        <v>187</v>
      </c>
      <c r="K16" s="498"/>
    </row>
    <row r="17" spans="1:11" ht="20.100000000000001" customHeight="1" thickBot="1">
      <c r="A17" s="66" t="s">
        <v>57</v>
      </c>
      <c r="B17" s="216">
        <v>11</v>
      </c>
      <c r="C17" s="67"/>
      <c r="D17" s="68"/>
      <c r="E17" s="217" t="s">
        <v>58</v>
      </c>
      <c r="F17" s="69"/>
      <c r="G17" s="68"/>
      <c r="H17" s="217" t="s">
        <v>58</v>
      </c>
      <c r="I17" s="47"/>
      <c r="J17" s="68"/>
      <c r="K17" s="217" t="s">
        <v>58</v>
      </c>
    </row>
    <row r="18" spans="1:11" ht="20.100000000000001" customHeight="1" thickBot="1">
      <c r="A18" s="70" t="s">
        <v>188</v>
      </c>
      <c r="B18" s="157">
        <v>11</v>
      </c>
      <c r="C18" s="67"/>
      <c r="D18" s="71" t="s">
        <v>59</v>
      </c>
      <c r="E18" s="72">
        <v>42433</v>
      </c>
      <c r="F18" s="69"/>
      <c r="G18" s="71" t="s">
        <v>59</v>
      </c>
      <c r="H18" s="218">
        <v>42447</v>
      </c>
      <c r="I18" s="73"/>
      <c r="J18" s="71" t="s">
        <v>59</v>
      </c>
      <c r="K18" s="218"/>
    </row>
    <row r="19" spans="1:11" ht="20.100000000000001" customHeight="1">
      <c r="A19" s="74" t="s">
        <v>208</v>
      </c>
      <c r="B19" s="64"/>
      <c r="C19" s="64"/>
      <c r="D19" s="62"/>
      <c r="E19" s="62"/>
      <c r="F19" s="38"/>
      <c r="G19" s="38"/>
      <c r="H19" s="38"/>
      <c r="I19" s="38"/>
      <c r="J19" s="270"/>
      <c r="K19" s="38"/>
    </row>
    <row r="20" spans="1:11" ht="20.100000000000001" customHeight="1" thickBot="1">
      <c r="A20" s="74"/>
      <c r="B20" s="64"/>
      <c r="C20" s="64"/>
      <c r="D20" s="62"/>
      <c r="E20" s="62"/>
      <c r="F20" s="38"/>
      <c r="G20" s="38"/>
      <c r="H20" s="38"/>
      <c r="I20" s="38"/>
      <c r="J20" s="38"/>
      <c r="K20" s="38"/>
    </row>
    <row r="21" spans="1:11" ht="20.100000000000001" customHeight="1" thickBot="1">
      <c r="A21" s="502" t="s">
        <v>190</v>
      </c>
      <c r="B21" s="503"/>
      <c r="C21" s="62"/>
      <c r="D21" s="271" t="s">
        <v>191</v>
      </c>
      <c r="E21" s="272" t="s">
        <v>38</v>
      </c>
      <c r="F21" s="38"/>
      <c r="G21" s="541" t="s">
        <v>192</v>
      </c>
      <c r="H21" s="542"/>
      <c r="I21" s="38"/>
      <c r="J21" s="163" t="s">
        <v>193</v>
      </c>
      <c r="K21" s="65" t="s">
        <v>38</v>
      </c>
    </row>
    <row r="22" spans="1:11" ht="20.100000000000001" customHeight="1" thickBot="1">
      <c r="A22" s="68"/>
      <c r="B22" s="217" t="s">
        <v>58</v>
      </c>
      <c r="C22" s="62"/>
      <c r="D22" s="68"/>
      <c r="E22" s="217" t="s">
        <v>58</v>
      </c>
      <c r="F22" s="38"/>
      <c r="G22" s="68"/>
      <c r="H22" s="217" t="s">
        <v>58</v>
      </c>
      <c r="I22" s="38"/>
      <c r="J22" s="68"/>
      <c r="K22" s="217" t="s">
        <v>58</v>
      </c>
    </row>
    <row r="23" spans="1:11" ht="20.100000000000001" customHeight="1" thickBot="1">
      <c r="A23" s="71" t="s">
        <v>59</v>
      </c>
      <c r="B23" s="218">
        <v>42459</v>
      </c>
      <c r="C23" s="62"/>
      <c r="D23" s="71" t="s">
        <v>59</v>
      </c>
      <c r="E23" s="72"/>
      <c r="F23" s="38"/>
      <c r="G23" s="71" t="s">
        <v>59</v>
      </c>
      <c r="H23" s="218"/>
      <c r="I23" s="38"/>
      <c r="J23" s="71" t="s">
        <v>59</v>
      </c>
      <c r="K23" s="72"/>
    </row>
    <row r="24" spans="1:11" ht="20.100000000000001" customHeight="1">
      <c r="A24" s="74"/>
      <c r="B24" s="64"/>
      <c r="C24" s="64"/>
      <c r="D24" s="62"/>
      <c r="E24" s="62"/>
      <c r="F24" s="38"/>
      <c r="G24" s="38"/>
      <c r="H24" s="38"/>
      <c r="I24" s="38"/>
      <c r="J24" s="270" t="s">
        <v>209</v>
      </c>
      <c r="K24" s="38"/>
    </row>
    <row r="25" spans="1:11" ht="20.100000000000001" customHeight="1" thickBot="1">
      <c r="A25" s="75"/>
      <c r="B25" s="75"/>
      <c r="C25" s="76"/>
      <c r="D25" s="62"/>
      <c r="E25" s="62"/>
      <c r="F25" s="77"/>
      <c r="H25" s="77"/>
      <c r="I25" s="77"/>
      <c r="J25" s="77"/>
      <c r="K25" s="77"/>
    </row>
    <row r="26" spans="1:11" ht="20.100000000000001" customHeight="1" thickBot="1">
      <c r="A26" s="501" t="s">
        <v>60</v>
      </c>
      <c r="B26" s="501"/>
      <c r="C26" s="501"/>
      <c r="D26" s="501"/>
      <c r="E26" s="501"/>
      <c r="F26" s="501"/>
      <c r="G26" s="501"/>
      <c r="H26" s="501"/>
      <c r="I26" s="501"/>
      <c r="J26" s="501"/>
      <c r="K26" s="501"/>
    </row>
    <row r="27" spans="1:11" ht="20.100000000000001" customHeight="1" thickBot="1">
      <c r="A27" s="78"/>
      <c r="B27" s="79"/>
      <c r="C27" s="64"/>
      <c r="D27" s="62"/>
      <c r="E27" s="62"/>
      <c r="F27" s="77"/>
      <c r="G27" s="77"/>
      <c r="H27" s="77"/>
      <c r="I27" s="77"/>
      <c r="J27" s="77"/>
      <c r="K27" s="77"/>
    </row>
    <row r="28" spans="1:11" ht="20.100000000000001" customHeight="1" thickBot="1">
      <c r="A28" s="163" t="s">
        <v>61</v>
      </c>
      <c r="B28" s="65" t="s">
        <v>38</v>
      </c>
      <c r="C28" s="64"/>
      <c r="D28" s="163" t="s">
        <v>62</v>
      </c>
      <c r="E28" s="65" t="s">
        <v>38</v>
      </c>
      <c r="F28" s="77"/>
      <c r="G28" s="502" t="s">
        <v>63</v>
      </c>
      <c r="H28" s="503"/>
      <c r="I28" s="77"/>
      <c r="J28" s="219" t="s">
        <v>194</v>
      </c>
      <c r="K28" s="65" t="s">
        <v>38</v>
      </c>
    </row>
    <row r="29" spans="1:11" ht="20.100000000000001" customHeight="1" thickBot="1">
      <c r="A29" s="68" t="s">
        <v>64</v>
      </c>
      <c r="B29" s="80">
        <v>12</v>
      </c>
      <c r="C29" s="81"/>
      <c r="D29" s="82" t="s">
        <v>65</v>
      </c>
      <c r="E29" s="80">
        <v>118</v>
      </c>
      <c r="F29" s="77"/>
      <c r="G29" s="83"/>
      <c r="H29" s="65" t="s">
        <v>38</v>
      </c>
      <c r="I29" s="77"/>
      <c r="J29" s="68" t="s">
        <v>195</v>
      </c>
      <c r="K29" s="80">
        <v>14</v>
      </c>
    </row>
    <row r="30" spans="1:11" ht="20.100000000000001" customHeight="1" thickBot="1">
      <c r="A30" s="68" t="s">
        <v>66</v>
      </c>
      <c r="B30" s="157">
        <v>15</v>
      </c>
      <c r="C30" s="81"/>
      <c r="D30" s="82" t="s">
        <v>67</v>
      </c>
      <c r="E30" s="157">
        <v>161</v>
      </c>
      <c r="F30" s="77"/>
      <c r="G30" s="70" t="s">
        <v>68</v>
      </c>
      <c r="H30" s="157">
        <v>153</v>
      </c>
      <c r="I30" s="77"/>
      <c r="J30" s="68" t="s">
        <v>196</v>
      </c>
      <c r="K30" s="80">
        <v>499</v>
      </c>
    </row>
    <row r="31" spans="1:11" ht="20.100000000000001" customHeight="1" thickBot="1">
      <c r="A31" s="70" t="s">
        <v>69</v>
      </c>
      <c r="B31" s="84">
        <v>1573</v>
      </c>
      <c r="C31" s="81"/>
      <c r="D31" s="220" t="s">
        <v>70</v>
      </c>
      <c r="E31" s="80">
        <f>SUM(E29:E30)</f>
        <v>279</v>
      </c>
      <c r="F31" s="77"/>
      <c r="I31" s="77"/>
      <c r="J31" s="221" t="s">
        <v>27</v>
      </c>
      <c r="K31" s="80">
        <f>SUM(K29:K30)</f>
        <v>513</v>
      </c>
    </row>
    <row r="32" spans="1:11" ht="20.100000000000001" customHeight="1" thickBot="1">
      <c r="A32" s="81"/>
      <c r="B32" s="64"/>
      <c r="C32" s="64"/>
      <c r="D32" s="85"/>
      <c r="E32" s="86"/>
      <c r="F32" s="77"/>
      <c r="I32" s="77"/>
      <c r="J32" s="87"/>
      <c r="K32" s="88"/>
    </row>
    <row r="33" spans="1:11" ht="20.100000000000001" customHeight="1" thickBot="1">
      <c r="A33" s="163" t="s">
        <v>71</v>
      </c>
      <c r="B33" s="65" t="s">
        <v>38</v>
      </c>
      <c r="C33" s="64"/>
      <c r="D33" s="89" t="s">
        <v>72</v>
      </c>
      <c r="E33" s="65" t="s">
        <v>38</v>
      </c>
      <c r="F33" s="90"/>
      <c r="G33" s="502" t="s">
        <v>73</v>
      </c>
      <c r="H33" s="503"/>
      <c r="I33" s="90"/>
      <c r="J33" s="87"/>
      <c r="K33" s="88"/>
    </row>
    <row r="34" spans="1:11" ht="20.100000000000001" customHeight="1" thickBot="1">
      <c r="A34" s="91" t="s">
        <v>74</v>
      </c>
      <c r="B34" s="80">
        <v>10</v>
      </c>
      <c r="C34" s="158"/>
      <c r="D34" s="92" t="s">
        <v>75</v>
      </c>
      <c r="E34" s="157">
        <v>17</v>
      </c>
      <c r="F34" s="93"/>
      <c r="G34" s="222"/>
      <c r="H34" s="65" t="s">
        <v>38</v>
      </c>
      <c r="I34" s="93"/>
      <c r="J34" s="87"/>
      <c r="K34" s="88"/>
    </row>
    <row r="35" spans="1:11" ht="20.100000000000001" customHeight="1" thickBot="1">
      <c r="A35" s="91" t="s">
        <v>76</v>
      </c>
      <c r="B35" s="157">
        <v>6</v>
      </c>
      <c r="C35" s="64"/>
      <c r="D35" s="68" t="s">
        <v>77</v>
      </c>
      <c r="E35" s="157">
        <v>3</v>
      </c>
      <c r="F35" s="94"/>
      <c r="G35" s="223"/>
      <c r="H35" s="157">
        <v>782</v>
      </c>
      <c r="I35" s="95"/>
      <c r="J35" s="87"/>
      <c r="K35" s="88"/>
    </row>
    <row r="36" spans="1:11" ht="20.100000000000001" customHeight="1" thickBot="1">
      <c r="A36" s="91" t="s">
        <v>78</v>
      </c>
      <c r="B36" s="80">
        <v>47</v>
      </c>
      <c r="C36" s="76"/>
      <c r="D36" s="504" t="s">
        <v>79</v>
      </c>
      <c r="E36" s="224"/>
      <c r="F36" s="225"/>
      <c r="H36" s="94"/>
      <c r="I36" s="94"/>
      <c r="J36" s="87"/>
      <c r="K36" s="88"/>
    </row>
    <row r="37" spans="1:11" ht="20.100000000000001" customHeight="1" thickBot="1">
      <c r="A37" s="91" t="s">
        <v>80</v>
      </c>
      <c r="B37" s="80">
        <v>8</v>
      </c>
      <c r="C37" s="76"/>
      <c r="D37" s="505"/>
      <c r="E37" s="226">
        <f>SUM(E34:E35)</f>
        <v>20</v>
      </c>
      <c r="F37" s="94"/>
      <c r="G37" s="94"/>
      <c r="H37" s="94"/>
      <c r="I37" s="94"/>
      <c r="J37" s="96"/>
      <c r="K37" s="88"/>
    </row>
    <row r="38" spans="1:11" ht="42" customHeight="1" thickBot="1">
      <c r="A38" s="91" t="s">
        <v>81</v>
      </c>
      <c r="B38" s="157">
        <v>5</v>
      </c>
      <c r="C38" s="76"/>
      <c r="D38" s="97" t="s">
        <v>82</v>
      </c>
      <c r="E38" s="38"/>
      <c r="F38" s="94"/>
      <c r="G38" s="94"/>
      <c r="H38" s="94"/>
      <c r="I38" s="94"/>
      <c r="J38" s="13"/>
      <c r="K38" s="13"/>
    </row>
    <row r="39" spans="1:11" ht="20.100000000000001" customHeight="1" thickBot="1">
      <c r="A39" s="70" t="s">
        <v>27</v>
      </c>
      <c r="B39" s="98">
        <f>SUM(B34:B38)</f>
        <v>76</v>
      </c>
      <c r="C39" s="64"/>
      <c r="D39" s="97"/>
      <c r="E39" s="38"/>
      <c r="F39" s="94"/>
      <c r="G39" s="94"/>
      <c r="H39" s="94"/>
      <c r="I39" s="94"/>
      <c r="J39" s="94"/>
      <c r="K39" s="94"/>
    </row>
    <row r="40" spans="1:11" ht="20.100000000000001" customHeight="1">
      <c r="A40" s="90"/>
      <c r="B40" s="77"/>
      <c r="C40" s="95"/>
      <c r="D40" s="97"/>
      <c r="E40" s="38"/>
      <c r="F40" s="94"/>
      <c r="G40" s="94"/>
      <c r="H40" s="94"/>
      <c r="I40" s="94"/>
      <c r="J40" s="94"/>
      <c r="K40" s="94"/>
    </row>
    <row r="41" spans="1:11" ht="20.100000000000001" customHeight="1" thickBot="1">
      <c r="A41" s="81"/>
      <c r="B41" s="64"/>
      <c r="C41" s="158"/>
      <c r="D41" s="97"/>
      <c r="E41" s="62"/>
      <c r="F41" s="94"/>
      <c r="G41" s="94"/>
      <c r="H41" s="94"/>
      <c r="I41" s="94"/>
      <c r="J41" s="94"/>
      <c r="K41" s="94"/>
    </row>
    <row r="42" spans="1:11" ht="20.100000000000001" customHeight="1" thickBot="1">
      <c r="A42" s="501" t="s">
        <v>83</v>
      </c>
      <c r="B42" s="501"/>
      <c r="C42" s="501"/>
      <c r="D42" s="501"/>
      <c r="E42" s="501"/>
      <c r="F42" s="501"/>
      <c r="G42" s="501"/>
      <c r="H42" s="501"/>
      <c r="I42" s="501"/>
      <c r="J42" s="501"/>
      <c r="K42" s="501"/>
    </row>
    <row r="43" spans="1:11" ht="20.25" customHeight="1" thickBot="1">
      <c r="A43" s="99"/>
      <c r="B43" s="227" t="s">
        <v>84</v>
      </c>
      <c r="C43" s="228"/>
      <c r="D43" s="227" t="s">
        <v>85</v>
      </c>
      <c r="E43" s="227" t="s">
        <v>86</v>
      </c>
      <c r="F43" s="228"/>
      <c r="G43" s="227" t="s">
        <v>87</v>
      </c>
      <c r="H43" s="227" t="s">
        <v>88</v>
      </c>
      <c r="I43" s="100"/>
      <c r="J43" s="227" t="s">
        <v>89</v>
      </c>
      <c r="K43" s="229" t="s">
        <v>90</v>
      </c>
    </row>
    <row r="44" spans="1:11" ht="19.5" customHeight="1">
      <c r="A44" s="261" t="s">
        <v>91</v>
      </c>
      <c r="B44" s="102">
        <v>2</v>
      </c>
      <c r="C44" s="102"/>
      <c r="D44" s="102">
        <v>2</v>
      </c>
      <c r="E44" s="102">
        <v>1</v>
      </c>
      <c r="F44" s="102"/>
      <c r="G44" s="102">
        <v>0</v>
      </c>
      <c r="H44" s="102">
        <v>0</v>
      </c>
      <c r="I44" s="103"/>
      <c r="J44" s="102">
        <v>0</v>
      </c>
      <c r="K44" s="262">
        <v>0</v>
      </c>
    </row>
    <row r="45" spans="1:11" s="75" customFormat="1" ht="20.100000000000001" customHeight="1">
      <c r="A45" s="263" t="s">
        <v>92</v>
      </c>
      <c r="B45" s="231">
        <v>1</v>
      </c>
      <c r="C45" s="231"/>
      <c r="D45" s="231">
        <v>0</v>
      </c>
      <c r="E45" s="231">
        <v>0</v>
      </c>
      <c r="F45" s="231"/>
      <c r="G45" s="231">
        <v>0</v>
      </c>
      <c r="H45" s="231">
        <v>0</v>
      </c>
      <c r="I45" s="264"/>
      <c r="J45" s="231">
        <v>0</v>
      </c>
      <c r="K45" s="265">
        <v>0</v>
      </c>
    </row>
    <row r="46" spans="1:11" ht="20.100000000000001" customHeight="1">
      <c r="A46" s="263" t="s">
        <v>93</v>
      </c>
      <c r="B46" s="231">
        <v>2</v>
      </c>
      <c r="C46" s="231"/>
      <c r="D46" s="231">
        <v>1</v>
      </c>
      <c r="E46" s="231">
        <v>1</v>
      </c>
      <c r="F46" s="231"/>
      <c r="G46" s="231">
        <v>0</v>
      </c>
      <c r="H46" s="231">
        <v>0</v>
      </c>
      <c r="I46" s="264"/>
      <c r="J46" s="231">
        <v>0</v>
      </c>
      <c r="K46" s="265">
        <v>0</v>
      </c>
    </row>
    <row r="47" spans="1:11" ht="20.100000000000001" customHeight="1">
      <c r="A47" s="263" t="s">
        <v>94</v>
      </c>
      <c r="B47" s="231">
        <v>1</v>
      </c>
      <c r="C47" s="231"/>
      <c r="D47" s="231">
        <v>0</v>
      </c>
      <c r="E47" s="231">
        <v>0</v>
      </c>
      <c r="F47" s="231"/>
      <c r="G47" s="231">
        <v>0</v>
      </c>
      <c r="H47" s="231">
        <v>0</v>
      </c>
      <c r="I47" s="264"/>
      <c r="J47" s="231">
        <v>0</v>
      </c>
      <c r="K47" s="265">
        <v>0</v>
      </c>
    </row>
    <row r="48" spans="1:11" ht="20.100000000000001" customHeight="1">
      <c r="A48" s="263" t="s">
        <v>95</v>
      </c>
      <c r="B48" s="231">
        <v>2</v>
      </c>
      <c r="C48" s="231"/>
      <c r="D48" s="231">
        <v>0</v>
      </c>
      <c r="E48" s="231">
        <v>0</v>
      </c>
      <c r="F48" s="231"/>
      <c r="G48" s="231">
        <v>0</v>
      </c>
      <c r="H48" s="231">
        <v>0</v>
      </c>
      <c r="I48" s="264"/>
      <c r="J48" s="231">
        <v>0</v>
      </c>
      <c r="K48" s="265">
        <v>0</v>
      </c>
    </row>
    <row r="49" spans="1:11" ht="20.100000000000001" customHeight="1">
      <c r="A49" s="263" t="s">
        <v>96</v>
      </c>
      <c r="B49" s="231">
        <v>2</v>
      </c>
      <c r="C49" s="231"/>
      <c r="D49" s="231">
        <v>0</v>
      </c>
      <c r="E49" s="231">
        <v>0</v>
      </c>
      <c r="F49" s="231"/>
      <c r="G49" s="231">
        <v>0</v>
      </c>
      <c r="H49" s="231">
        <v>0</v>
      </c>
      <c r="I49" s="264"/>
      <c r="J49" s="231">
        <v>0</v>
      </c>
      <c r="K49" s="265">
        <v>0</v>
      </c>
    </row>
    <row r="50" spans="1:11" ht="20.100000000000001" customHeight="1">
      <c r="A50" s="263" t="s">
        <v>97</v>
      </c>
      <c r="B50" s="231">
        <v>7</v>
      </c>
      <c r="C50" s="231"/>
      <c r="D50" s="231">
        <v>0</v>
      </c>
      <c r="E50" s="231">
        <v>0</v>
      </c>
      <c r="F50" s="231"/>
      <c r="G50" s="231">
        <v>0</v>
      </c>
      <c r="H50" s="231">
        <v>0</v>
      </c>
      <c r="I50" s="264"/>
      <c r="J50" s="231">
        <v>0</v>
      </c>
      <c r="K50" s="265">
        <v>0</v>
      </c>
    </row>
    <row r="51" spans="1:11" ht="20.100000000000001" customHeight="1">
      <c r="A51" s="263" t="s">
        <v>98</v>
      </c>
      <c r="B51" s="231">
        <v>3</v>
      </c>
      <c r="C51" s="231"/>
      <c r="D51" s="231">
        <v>0</v>
      </c>
      <c r="E51" s="231">
        <v>0</v>
      </c>
      <c r="F51" s="231"/>
      <c r="G51" s="231">
        <v>0</v>
      </c>
      <c r="H51" s="231">
        <v>0</v>
      </c>
      <c r="I51" s="264"/>
      <c r="J51" s="231">
        <v>0</v>
      </c>
      <c r="K51" s="265">
        <v>0</v>
      </c>
    </row>
    <row r="52" spans="1:11" ht="20.100000000000001" customHeight="1">
      <c r="A52" s="263" t="s">
        <v>99</v>
      </c>
      <c r="B52" s="231">
        <v>8</v>
      </c>
      <c r="C52" s="231"/>
      <c r="D52" s="231">
        <v>1</v>
      </c>
      <c r="E52" s="231">
        <v>0</v>
      </c>
      <c r="F52" s="231"/>
      <c r="G52" s="231">
        <v>0</v>
      </c>
      <c r="H52" s="231">
        <v>0</v>
      </c>
      <c r="I52" s="264"/>
      <c r="J52" s="231">
        <v>0</v>
      </c>
      <c r="K52" s="265">
        <v>0</v>
      </c>
    </row>
    <row r="53" spans="1:11" ht="20.100000000000001" customHeight="1" thickBot="1">
      <c r="A53" s="266" t="s">
        <v>100</v>
      </c>
      <c r="B53" s="267">
        <v>51</v>
      </c>
      <c r="C53" s="267"/>
      <c r="D53" s="267">
        <v>7</v>
      </c>
      <c r="E53" s="267">
        <v>0</v>
      </c>
      <c r="F53" s="267"/>
      <c r="G53" s="267">
        <v>0</v>
      </c>
      <c r="H53" s="267">
        <v>0</v>
      </c>
      <c r="I53" s="268"/>
      <c r="J53" s="267">
        <v>0</v>
      </c>
      <c r="K53" s="269">
        <v>0</v>
      </c>
    </row>
    <row r="54" spans="1:11" ht="59.25" customHeight="1" thickBot="1">
      <c r="A54" s="104" t="s">
        <v>27</v>
      </c>
      <c r="B54" s="234">
        <f>SUM(B44:B53)</f>
        <v>79</v>
      </c>
      <c r="C54" s="234">
        <f t="shared" ref="C54:K54" si="0">SUM(C44:C53)</f>
        <v>0</v>
      </c>
      <c r="D54" s="234">
        <f t="shared" si="0"/>
        <v>11</v>
      </c>
      <c r="E54" s="234">
        <f t="shared" si="0"/>
        <v>2</v>
      </c>
      <c r="F54" s="234">
        <f t="shared" si="0"/>
        <v>0</v>
      </c>
      <c r="G54" s="234">
        <f t="shared" si="0"/>
        <v>0</v>
      </c>
      <c r="H54" s="234">
        <f t="shared" si="0"/>
        <v>0</v>
      </c>
      <c r="I54" s="234">
        <f t="shared" si="0"/>
        <v>0</v>
      </c>
      <c r="J54" s="234">
        <f t="shared" si="0"/>
        <v>0</v>
      </c>
      <c r="K54" s="234">
        <f t="shared" si="0"/>
        <v>0</v>
      </c>
    </row>
    <row r="55" spans="1:11" ht="20.100000000000001" customHeight="1">
      <c r="C55" s="38"/>
      <c r="F55" s="93"/>
      <c r="G55" s="90"/>
      <c r="H55" s="95"/>
      <c r="I55" s="93"/>
      <c r="J55" s="105"/>
      <c r="K55" s="105"/>
    </row>
    <row r="56" spans="1:11" ht="19.5" customHeight="1">
      <c r="A56" s="106"/>
      <c r="B56" s="76"/>
      <c r="C56" s="47"/>
      <c r="D56" s="62"/>
      <c r="E56" s="62"/>
      <c r="F56" s="47"/>
      <c r="I56" s="47"/>
      <c r="J56" s="94"/>
      <c r="K56" s="94"/>
    </row>
    <row r="57" spans="1:11" ht="20.100000000000001" customHeight="1" thickBot="1">
      <c r="C57" s="47"/>
      <c r="D57" s="62"/>
      <c r="E57" s="62"/>
      <c r="F57" s="93"/>
      <c r="G57" s="47"/>
      <c r="H57" s="105"/>
      <c r="I57" s="93"/>
      <c r="J57" s="38"/>
      <c r="K57" s="38"/>
    </row>
    <row r="58" spans="1:11" ht="20.100000000000001" customHeight="1" thickBot="1">
      <c r="A58" s="512" t="s">
        <v>101</v>
      </c>
      <c r="B58" s="501"/>
      <c r="C58" s="501"/>
      <c r="D58" s="501"/>
      <c r="E58" s="501"/>
      <c r="F58" s="501"/>
      <c r="G58" s="501"/>
      <c r="H58" s="501"/>
      <c r="I58" s="501"/>
      <c r="J58" s="501"/>
      <c r="K58" s="513"/>
    </row>
    <row r="59" spans="1:11" ht="46.5" customHeight="1">
      <c r="A59" s="107"/>
      <c r="B59" s="108"/>
      <c r="C59" s="109"/>
      <c r="D59" s="110" t="s">
        <v>102</v>
      </c>
      <c r="E59" s="164" t="s">
        <v>103</v>
      </c>
      <c r="F59" s="165"/>
      <c r="G59" s="510" t="s">
        <v>104</v>
      </c>
      <c r="H59" s="511"/>
      <c r="I59" s="111"/>
      <c r="J59" s="164" t="s">
        <v>105</v>
      </c>
      <c r="K59" s="112" t="s">
        <v>106</v>
      </c>
    </row>
    <row r="60" spans="1:11" ht="20.100000000000001" customHeight="1">
      <c r="A60" s="235" t="s">
        <v>197</v>
      </c>
      <c r="B60" s="236"/>
      <c r="C60" s="237"/>
      <c r="D60" s="238">
        <v>12</v>
      </c>
      <c r="E60" s="514">
        <v>1</v>
      </c>
      <c r="F60" s="515"/>
      <c r="G60" s="516">
        <v>103</v>
      </c>
      <c r="H60" s="517"/>
      <c r="I60" s="238"/>
      <c r="J60" s="239">
        <v>0</v>
      </c>
      <c r="K60" s="240">
        <v>0</v>
      </c>
    </row>
    <row r="61" spans="1:11" ht="20.100000000000001" customHeight="1">
      <c r="A61" s="506" t="s">
        <v>198</v>
      </c>
      <c r="B61" s="507"/>
      <c r="C61" s="241"/>
      <c r="D61" s="238">
        <v>5</v>
      </c>
      <c r="E61" s="508">
        <v>1</v>
      </c>
      <c r="F61" s="509"/>
      <c r="G61" s="508">
        <v>111</v>
      </c>
      <c r="H61" s="509"/>
      <c r="I61" s="239"/>
      <c r="J61" s="242">
        <v>1</v>
      </c>
      <c r="K61" s="242">
        <v>117</v>
      </c>
    </row>
    <row r="62" spans="1:11" ht="20.100000000000001" customHeight="1">
      <c r="A62" s="273" t="s">
        <v>210</v>
      </c>
      <c r="B62" s="274"/>
      <c r="C62" s="241"/>
      <c r="D62" s="238">
        <v>4</v>
      </c>
      <c r="E62" s="508">
        <v>2</v>
      </c>
      <c r="F62" s="509"/>
      <c r="G62" s="508">
        <v>0</v>
      </c>
      <c r="H62" s="509"/>
      <c r="I62" s="239"/>
      <c r="J62" s="242">
        <v>0</v>
      </c>
      <c r="K62" s="242">
        <v>0</v>
      </c>
    </row>
    <row r="63" spans="1:11" ht="20.100000000000001" customHeight="1">
      <c r="A63" s="506" t="s">
        <v>17</v>
      </c>
      <c r="B63" s="507"/>
      <c r="C63" s="241"/>
      <c r="D63" s="238">
        <v>1</v>
      </c>
      <c r="E63" s="508">
        <v>0</v>
      </c>
      <c r="F63" s="509"/>
      <c r="G63" s="508">
        <v>0</v>
      </c>
      <c r="H63" s="509"/>
      <c r="I63" s="239"/>
      <c r="J63" s="242">
        <v>0</v>
      </c>
      <c r="K63" s="242">
        <v>0</v>
      </c>
    </row>
    <row r="64" spans="1:11" ht="20.100000000000001" customHeight="1">
      <c r="A64" s="273" t="s">
        <v>211</v>
      </c>
      <c r="B64" s="274"/>
      <c r="C64" s="241"/>
      <c r="D64" s="238">
        <v>4</v>
      </c>
      <c r="E64" s="508">
        <v>0</v>
      </c>
      <c r="F64" s="509"/>
      <c r="G64" s="508">
        <v>0</v>
      </c>
      <c r="H64" s="509"/>
      <c r="I64" s="239"/>
      <c r="J64" s="242">
        <v>0</v>
      </c>
      <c r="K64" s="275">
        <v>0</v>
      </c>
    </row>
    <row r="65" spans="1:11" ht="20.100000000000001" customHeight="1">
      <c r="A65" s="506" t="s">
        <v>18</v>
      </c>
      <c r="B65" s="507"/>
      <c r="C65" s="241"/>
      <c r="D65" s="238">
        <v>3</v>
      </c>
      <c r="E65" s="514">
        <v>0</v>
      </c>
      <c r="F65" s="515"/>
      <c r="G65" s="516">
        <v>9</v>
      </c>
      <c r="H65" s="517"/>
      <c r="I65" s="239"/>
      <c r="J65" s="239">
        <v>0</v>
      </c>
      <c r="K65" s="243">
        <v>247</v>
      </c>
    </row>
    <row r="66" spans="1:11" ht="20.100000000000001" customHeight="1">
      <c r="A66" s="506" t="s">
        <v>199</v>
      </c>
      <c r="B66" s="507"/>
      <c r="C66" s="241"/>
      <c r="D66" s="238">
        <v>0</v>
      </c>
      <c r="E66" s="508">
        <v>0</v>
      </c>
      <c r="F66" s="509"/>
      <c r="G66" s="508">
        <v>0</v>
      </c>
      <c r="H66" s="509"/>
      <c r="I66" s="239"/>
      <c r="J66" s="242">
        <v>0</v>
      </c>
      <c r="K66" s="242">
        <v>0</v>
      </c>
    </row>
    <row r="67" spans="1:11" ht="20.100000000000001" customHeight="1">
      <c r="A67" s="506" t="s">
        <v>21</v>
      </c>
      <c r="B67" s="507"/>
      <c r="C67" s="241"/>
      <c r="D67" s="238">
        <v>0</v>
      </c>
      <c r="E67" s="508">
        <v>0</v>
      </c>
      <c r="F67" s="509"/>
      <c r="G67" s="508">
        <v>0</v>
      </c>
      <c r="H67" s="509"/>
      <c r="I67" s="239"/>
      <c r="J67" s="242">
        <v>0</v>
      </c>
      <c r="K67" s="242">
        <v>0</v>
      </c>
    </row>
    <row r="68" spans="1:11" ht="20.100000000000001" customHeight="1">
      <c r="A68" s="506" t="s">
        <v>20</v>
      </c>
      <c r="B68" s="507"/>
      <c r="C68" s="241"/>
      <c r="D68" s="238">
        <v>7</v>
      </c>
      <c r="E68" s="514">
        <v>2</v>
      </c>
      <c r="F68" s="515"/>
      <c r="G68" s="516">
        <v>331</v>
      </c>
      <c r="H68" s="517"/>
      <c r="I68" s="239"/>
      <c r="J68" s="239">
        <v>3</v>
      </c>
      <c r="K68" s="240">
        <v>318</v>
      </c>
    </row>
    <row r="69" spans="1:11" ht="20.100000000000001" customHeight="1">
      <c r="A69" s="506" t="s">
        <v>22</v>
      </c>
      <c r="B69" s="507"/>
      <c r="C69" s="241"/>
      <c r="D69" s="238">
        <v>1</v>
      </c>
      <c r="E69" s="514">
        <v>0</v>
      </c>
      <c r="F69" s="515"/>
      <c r="G69" s="516">
        <v>44</v>
      </c>
      <c r="H69" s="517"/>
      <c r="I69" s="239"/>
      <c r="J69" s="239">
        <v>0</v>
      </c>
      <c r="K69" s="240">
        <v>28</v>
      </c>
    </row>
    <row r="70" spans="1:11" ht="20.100000000000001" customHeight="1">
      <c r="A70" s="518" t="s">
        <v>107</v>
      </c>
      <c r="B70" s="519"/>
      <c r="C70" s="241"/>
      <c r="D70" s="238">
        <v>4</v>
      </c>
      <c r="E70" s="514">
        <v>1</v>
      </c>
      <c r="F70" s="515"/>
      <c r="G70" s="516">
        <v>68</v>
      </c>
      <c r="H70" s="517"/>
      <c r="I70" s="239"/>
      <c r="J70" s="239">
        <v>0</v>
      </c>
      <c r="K70" s="240">
        <v>41</v>
      </c>
    </row>
    <row r="71" spans="1:11" ht="20.100000000000001" customHeight="1">
      <c r="A71" s="518" t="s">
        <v>108</v>
      </c>
      <c r="B71" s="519"/>
      <c r="C71" s="241"/>
      <c r="D71" s="238">
        <v>2</v>
      </c>
      <c r="E71" s="514">
        <v>2</v>
      </c>
      <c r="F71" s="515"/>
      <c r="G71" s="516">
        <v>31</v>
      </c>
      <c r="H71" s="517"/>
      <c r="I71" s="239"/>
      <c r="J71" s="239">
        <v>0</v>
      </c>
      <c r="K71" s="240">
        <v>7</v>
      </c>
    </row>
    <row r="72" spans="1:11" ht="20.100000000000001" customHeight="1">
      <c r="A72" s="518" t="s">
        <v>109</v>
      </c>
      <c r="B72" s="519"/>
      <c r="C72" s="241"/>
      <c r="D72" s="238">
        <v>0</v>
      </c>
      <c r="E72" s="514">
        <v>0</v>
      </c>
      <c r="F72" s="515"/>
      <c r="G72" s="516">
        <v>4</v>
      </c>
      <c r="H72" s="517"/>
      <c r="I72" s="239"/>
      <c r="J72" s="239">
        <v>0</v>
      </c>
      <c r="K72" s="240">
        <v>0</v>
      </c>
    </row>
    <row r="73" spans="1:11" ht="20.100000000000001" customHeight="1" thickBot="1">
      <c r="A73" s="525" t="s">
        <v>110</v>
      </c>
      <c r="B73" s="526"/>
      <c r="C73" s="244"/>
      <c r="D73" s="245">
        <v>0</v>
      </c>
      <c r="E73" s="522">
        <v>0</v>
      </c>
      <c r="F73" s="523"/>
      <c r="G73" s="527">
        <v>0</v>
      </c>
      <c r="H73" s="528"/>
      <c r="I73" s="239"/>
      <c r="J73" s="239">
        <v>0</v>
      </c>
      <c r="K73" s="240">
        <v>0</v>
      </c>
    </row>
    <row r="74" spans="1:11" ht="20.100000000000001" customHeight="1" thickBot="1">
      <c r="A74" s="529" t="s">
        <v>27</v>
      </c>
      <c r="B74" s="530"/>
      <c r="C74" s="113"/>
      <c r="D74" s="114">
        <f>SUM(D60:D73)</f>
        <v>43</v>
      </c>
      <c r="E74" s="531">
        <f>SUM(E60:F73)</f>
        <v>9</v>
      </c>
      <c r="F74" s="532"/>
      <c r="G74" s="531">
        <f>SUM(G60:H73)</f>
        <v>701</v>
      </c>
      <c r="H74" s="532"/>
      <c r="I74" s="113"/>
      <c r="J74" s="114">
        <f>SUM(J60:J73)</f>
        <v>4</v>
      </c>
      <c r="K74" s="115">
        <f>SUM(K60:K73)</f>
        <v>758</v>
      </c>
    </row>
    <row r="75" spans="1:11" ht="20.100000000000001" customHeight="1" thickBot="1">
      <c r="A75" s="512" t="s">
        <v>101</v>
      </c>
      <c r="B75" s="501"/>
      <c r="C75" s="501"/>
      <c r="D75" s="501"/>
      <c r="E75" s="501"/>
      <c r="F75" s="501"/>
      <c r="G75" s="501"/>
      <c r="H75" s="501"/>
      <c r="I75" s="501"/>
      <c r="J75" s="501"/>
      <c r="K75" s="513"/>
    </row>
    <row r="76" spans="1:11" ht="20.100000000000001" customHeight="1">
      <c r="A76" s="536" t="s">
        <v>169</v>
      </c>
      <c r="B76" s="110" t="s">
        <v>102</v>
      </c>
      <c r="C76" s="246"/>
      <c r="D76" s="166" t="s">
        <v>200</v>
      </c>
      <c r="E76" s="510" t="s">
        <v>201</v>
      </c>
      <c r="F76" s="511"/>
      <c r="G76" s="166" t="s">
        <v>202</v>
      </c>
      <c r="H76" s="510" t="s">
        <v>203</v>
      </c>
      <c r="I76" s="511"/>
      <c r="J76" s="166" t="s">
        <v>204</v>
      </c>
      <c r="K76" s="247" t="s">
        <v>205</v>
      </c>
    </row>
    <row r="77" spans="1:11" ht="20.100000000000001" customHeight="1" thickBot="1">
      <c r="A77" s="537"/>
      <c r="B77" s="245">
        <v>3</v>
      </c>
      <c r="C77" s="522">
        <v>0</v>
      </c>
      <c r="D77" s="523"/>
      <c r="E77" s="527">
        <v>41</v>
      </c>
      <c r="F77" s="528"/>
      <c r="G77" s="245">
        <v>0</v>
      </c>
      <c r="H77" s="527">
        <v>50</v>
      </c>
      <c r="I77" s="538"/>
      <c r="J77" s="248">
        <v>0</v>
      </c>
      <c r="K77" s="249">
        <v>1</v>
      </c>
    </row>
    <row r="78" spans="1:11" ht="20.100000000000001" customHeight="1">
      <c r="A78" s="125" t="s">
        <v>122</v>
      </c>
      <c r="B78" s="125"/>
      <c r="C78" s="13"/>
      <c r="D78" s="118"/>
      <c r="E78" s="77"/>
    </row>
    <row r="79" spans="1:11" ht="20.100000000000001" customHeight="1">
      <c r="A79" s="116" t="s">
        <v>111</v>
      </c>
      <c r="B79" s="117"/>
      <c r="C79" s="13"/>
      <c r="D79" s="118"/>
      <c r="E79" s="77"/>
    </row>
    <row r="80" spans="1:11" ht="20.100000000000001" customHeight="1">
      <c r="A80" s="116" t="s">
        <v>112</v>
      </c>
      <c r="B80" s="117"/>
      <c r="C80" s="13"/>
      <c r="D80" s="118"/>
      <c r="E80" s="77"/>
    </row>
    <row r="81" spans="1:11" ht="20.100000000000001" customHeight="1">
      <c r="A81" s="116" t="s">
        <v>113</v>
      </c>
      <c r="B81" s="117"/>
      <c r="C81" s="13"/>
      <c r="D81" s="90"/>
      <c r="E81" s="77"/>
    </row>
    <row r="82" spans="1:11" ht="20.100000000000001" customHeight="1" thickBot="1">
      <c r="A82" s="119"/>
      <c r="B82" s="117"/>
      <c r="C82" s="13"/>
      <c r="D82" s="90"/>
      <c r="E82" s="77"/>
    </row>
    <row r="83" spans="1:11" ht="20.100000000000001" customHeight="1" thickBot="1">
      <c r="A83" s="533" t="s">
        <v>114</v>
      </c>
      <c r="B83" s="534"/>
      <c r="C83" s="534"/>
      <c r="D83" s="534"/>
      <c r="E83" s="534"/>
      <c r="F83" s="534"/>
      <c r="G83" s="534"/>
      <c r="H83" s="534"/>
      <c r="I83" s="534"/>
      <c r="J83" s="534"/>
      <c r="K83" s="535"/>
    </row>
    <row r="84" spans="1:11" s="75" customFormat="1" ht="20.100000000000001" customHeight="1" thickBot="1">
      <c r="A84" s="250"/>
      <c r="B84" s="121"/>
      <c r="C84" s="121"/>
      <c r="D84" s="121"/>
      <c r="E84" s="121"/>
      <c r="F84" s="121"/>
      <c r="G84" s="121"/>
      <c r="H84" s="121"/>
      <c r="I84" s="121"/>
      <c r="J84" s="121"/>
      <c r="K84" s="251" t="s">
        <v>38</v>
      </c>
    </row>
    <row r="85" spans="1:11" ht="20.100000000000001" customHeight="1" thickBot="1">
      <c r="A85" s="520" t="s">
        <v>115</v>
      </c>
      <c r="B85" s="521"/>
      <c r="C85" s="162"/>
      <c r="D85" s="162"/>
      <c r="E85" s="162"/>
      <c r="F85" s="162"/>
      <c r="G85" s="162"/>
      <c r="H85" s="162"/>
      <c r="I85" s="162"/>
      <c r="J85" s="162"/>
      <c r="K85" s="157">
        <v>80</v>
      </c>
    </row>
    <row r="86" spans="1:11" ht="20.100000000000001" customHeight="1" thickBot="1">
      <c r="A86" s="252" t="s">
        <v>116</v>
      </c>
      <c r="B86" s="253"/>
      <c r="C86" s="253"/>
      <c r="D86" s="253"/>
      <c r="E86" s="253"/>
      <c r="F86" s="253"/>
      <c r="G86" s="253"/>
      <c r="H86" s="253"/>
      <c r="I86" s="253"/>
      <c r="J86" s="253"/>
      <c r="K86" s="80">
        <v>59</v>
      </c>
    </row>
    <row r="87" spans="1:11" ht="20.100000000000001" customHeight="1" thickBot="1">
      <c r="A87" s="539" t="s">
        <v>117</v>
      </c>
      <c r="B87" s="540"/>
      <c r="C87" s="254"/>
      <c r="D87" s="254"/>
      <c r="E87" s="254"/>
      <c r="F87" s="254"/>
      <c r="G87" s="254"/>
      <c r="H87" s="254"/>
      <c r="I87" s="254"/>
      <c r="J87" s="254"/>
      <c r="K87" s="157">
        <v>26</v>
      </c>
    </row>
    <row r="88" spans="1:11" ht="20.100000000000001" customHeight="1" thickBot="1">
      <c r="A88" s="255" t="s">
        <v>118</v>
      </c>
      <c r="B88" s="256"/>
      <c r="C88" s="256"/>
      <c r="D88" s="256"/>
      <c r="E88" s="256"/>
      <c r="F88" s="256"/>
      <c r="G88" s="256"/>
      <c r="H88" s="256"/>
      <c r="I88" s="256"/>
      <c r="J88" s="256"/>
      <c r="K88" s="80">
        <v>18</v>
      </c>
    </row>
    <row r="89" spans="1:11" ht="20.100000000000001" customHeight="1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</row>
    <row r="90" spans="1:11" ht="20.100000000000001" customHeight="1" thickBot="1"/>
    <row r="91" spans="1:11" ht="20.100000000000001" customHeight="1" thickBot="1">
      <c r="A91" s="512" t="s">
        <v>119</v>
      </c>
      <c r="B91" s="501"/>
      <c r="C91" s="501"/>
      <c r="D91" s="501"/>
      <c r="E91" s="501"/>
      <c r="F91" s="501"/>
      <c r="G91" s="501"/>
      <c r="H91" s="501"/>
      <c r="I91" s="501"/>
      <c r="J91" s="501"/>
      <c r="K91" s="513"/>
    </row>
    <row r="92" spans="1:11" s="75" customFormat="1" ht="20.100000000000001" customHeight="1" thickBot="1">
      <c r="A92" s="121"/>
      <c r="B92" s="121"/>
      <c r="C92" s="121"/>
      <c r="D92" s="121"/>
      <c r="E92" s="121"/>
      <c r="F92" s="121"/>
      <c r="G92" s="121"/>
      <c r="H92" s="121"/>
      <c r="I92" s="121"/>
      <c r="J92" s="121"/>
      <c r="K92" s="257" t="s">
        <v>38</v>
      </c>
    </row>
    <row r="93" spans="1:11" ht="20.100000000000001" customHeight="1" thickBot="1">
      <c r="A93" s="159" t="s">
        <v>120</v>
      </c>
      <c r="B93" s="160"/>
      <c r="C93" s="160"/>
      <c r="D93" s="160"/>
      <c r="E93" s="160"/>
      <c r="F93" s="160"/>
      <c r="G93" s="160"/>
      <c r="H93" s="160"/>
      <c r="I93" s="160"/>
      <c r="J93" s="160"/>
      <c r="K93" s="44">
        <v>2804</v>
      </c>
    </row>
    <row r="94" spans="1:11" ht="20.100000000000001" customHeight="1" thickBot="1">
      <c r="A94" s="258" t="s">
        <v>121</v>
      </c>
      <c r="B94" s="259"/>
      <c r="C94" s="259"/>
      <c r="D94" s="259"/>
      <c r="E94" s="259"/>
      <c r="F94" s="259"/>
      <c r="G94" s="259"/>
      <c r="H94" s="259"/>
      <c r="I94" s="259"/>
      <c r="J94" s="259"/>
      <c r="K94" s="260">
        <v>1</v>
      </c>
    </row>
    <row r="95" spans="1:11" ht="20.100000000000001" customHeight="1">
      <c r="A95" s="122"/>
      <c r="B95" s="47"/>
    </row>
    <row r="96" spans="1:11" ht="20.100000000000001" customHeight="1">
      <c r="A96" s="13"/>
      <c r="B96" s="13"/>
      <c r="C96" s="13"/>
      <c r="D96" s="93"/>
      <c r="E96" s="47"/>
    </row>
    <row r="97" spans="1:4" ht="20.100000000000001" customHeight="1">
      <c r="A97" s="123"/>
      <c r="B97" s="124"/>
      <c r="C97" s="13"/>
      <c r="D97" s="90"/>
    </row>
    <row r="98" spans="1:4" ht="20.100000000000001" customHeight="1">
      <c r="A98" s="117"/>
      <c r="B98" s="13"/>
      <c r="C98" s="13"/>
      <c r="D98" s="168"/>
    </row>
    <row r="99" spans="1:4" ht="20.100000000000001" customHeight="1">
      <c r="A99" s="524"/>
      <c r="B99" s="524"/>
      <c r="C99" s="13"/>
      <c r="D99" s="168"/>
    </row>
    <row r="100" spans="1:4" ht="20.100000000000001" customHeight="1">
      <c r="A100" s="117"/>
      <c r="B100" s="117"/>
      <c r="C100" s="13"/>
      <c r="D100" s="47"/>
    </row>
    <row r="101" spans="1:4" ht="20.100000000000001" customHeight="1">
      <c r="A101" s="117"/>
      <c r="B101" s="117"/>
      <c r="C101" s="13"/>
      <c r="D101" s="13"/>
    </row>
    <row r="102" spans="1:4" ht="20.100000000000001" customHeight="1">
      <c r="A102" s="117"/>
      <c r="B102" s="117"/>
      <c r="C102" s="13"/>
      <c r="D102" s="13"/>
    </row>
    <row r="103" spans="1:4" ht="20.100000000000001" customHeight="1">
      <c r="A103" s="117"/>
      <c r="B103" s="117"/>
      <c r="C103" s="13"/>
      <c r="D103" s="13"/>
    </row>
    <row r="104" spans="1:4" ht="20.100000000000001" customHeight="1">
      <c r="A104" s="13"/>
      <c r="B104" s="13"/>
      <c r="C104" s="13"/>
      <c r="D104" s="13"/>
    </row>
    <row r="105" spans="1:4" ht="20.100000000000001" customHeight="1"/>
    <row r="106" spans="1:4" ht="20.100000000000001" customHeight="1"/>
    <row r="107" spans="1:4" ht="20.100000000000001" customHeight="1"/>
    <row r="108" spans="1:4" ht="20.100000000000001" customHeight="1"/>
    <row r="109" spans="1:4" ht="20.100000000000001" customHeight="1"/>
    <row r="110" spans="1:4" ht="20.100000000000001" customHeight="1"/>
    <row r="111" spans="1:4" ht="20.100000000000001" customHeight="1"/>
    <row r="112" spans="1:4" ht="20.100000000000001" customHeight="1"/>
    <row r="113" spans="4:5" ht="20.100000000000001" customHeight="1"/>
    <row r="114" spans="4:5" ht="20.100000000000001" customHeight="1"/>
    <row r="115" spans="4:5" ht="20.100000000000001" customHeight="1">
      <c r="D115" s="38"/>
      <c r="E115" s="38"/>
    </row>
    <row r="116" spans="4:5" ht="20.100000000000001" customHeight="1">
      <c r="D116" s="38"/>
      <c r="E116" s="38"/>
    </row>
    <row r="117" spans="4:5" ht="20.100000000000001" customHeight="1">
      <c r="D117" s="93"/>
      <c r="E117" s="93"/>
    </row>
    <row r="118" spans="4:5" ht="20.100000000000001" customHeight="1">
      <c r="D118" s="47"/>
      <c r="E118" s="47"/>
    </row>
    <row r="119" spans="4:5" ht="20.100000000000001" customHeight="1">
      <c r="D119" s="47"/>
      <c r="E119" s="47"/>
    </row>
    <row r="120" spans="4:5" ht="20.100000000000001" customHeight="1">
      <c r="D120" s="124"/>
      <c r="E120" s="124"/>
    </row>
    <row r="121" spans="4:5" ht="20.100000000000001" customHeight="1">
      <c r="D121" s="13"/>
      <c r="E121" s="13"/>
    </row>
    <row r="122" spans="4:5" ht="20.100000000000001" customHeight="1">
      <c r="D122" s="161"/>
      <c r="E122" s="161"/>
    </row>
    <row r="123" spans="4:5" ht="20.100000000000001" customHeight="1">
      <c r="D123" s="117"/>
      <c r="E123" s="117"/>
    </row>
    <row r="124" spans="4:5" ht="20.100000000000001" customHeight="1">
      <c r="D124" s="117"/>
      <c r="E124" s="117"/>
    </row>
    <row r="125" spans="4:5" ht="20.100000000000001" customHeight="1">
      <c r="D125" s="117"/>
      <c r="E125" s="117"/>
    </row>
    <row r="126" spans="4:5" ht="20.100000000000001" customHeight="1">
      <c r="D126" s="117"/>
      <c r="E126" s="117"/>
    </row>
    <row r="127" spans="4:5" ht="20.100000000000001" customHeight="1"/>
    <row r="128" spans="4:5" ht="20.100000000000001" customHeight="1">
      <c r="E128" s="47"/>
    </row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</sheetData>
  <sheetProtection selectLockedCells="1" selectUnlockedCells="1"/>
  <mergeCells count="70">
    <mergeCell ref="A99:B99"/>
    <mergeCell ref="A74:B74"/>
    <mergeCell ref="E74:F74"/>
    <mergeCell ref="G74:H74"/>
    <mergeCell ref="A75:K75"/>
    <mergeCell ref="A76:A77"/>
    <mergeCell ref="E76:F76"/>
    <mergeCell ref="H76:I76"/>
    <mergeCell ref="C77:D77"/>
    <mergeCell ref="E77:F77"/>
    <mergeCell ref="H77:I77"/>
    <mergeCell ref="A83:K83"/>
    <mergeCell ref="A85:B85"/>
    <mergeCell ref="A87:B87"/>
    <mergeCell ref="A91:K91"/>
    <mergeCell ref="A61:B61"/>
    <mergeCell ref="A72:B72"/>
    <mergeCell ref="E72:F72"/>
    <mergeCell ref="G72:H72"/>
    <mergeCell ref="A73:B73"/>
    <mergeCell ref="E73:F73"/>
    <mergeCell ref="G73:H73"/>
    <mergeCell ref="A70:B70"/>
    <mergeCell ref="E70:F70"/>
    <mergeCell ref="G70:H70"/>
    <mergeCell ref="A71:B71"/>
    <mergeCell ref="E71:F71"/>
    <mergeCell ref="G71:H71"/>
    <mergeCell ref="A68:B68"/>
    <mergeCell ref="E68:F68"/>
    <mergeCell ref="G68:H68"/>
    <mergeCell ref="A26:K26"/>
    <mergeCell ref="G33:H33"/>
    <mergeCell ref="D36:D37"/>
    <mergeCell ref="A42:K42"/>
    <mergeCell ref="A58:K58"/>
    <mergeCell ref="G28:H28"/>
    <mergeCell ref="A69:B69"/>
    <mergeCell ref="E69:F69"/>
    <mergeCell ref="G69:H69"/>
    <mergeCell ref="A66:B66"/>
    <mergeCell ref="E66:F66"/>
    <mergeCell ref="G66:H66"/>
    <mergeCell ref="A67:B67"/>
    <mergeCell ref="E67:F67"/>
    <mergeCell ref="G67:H67"/>
    <mergeCell ref="E64:F64"/>
    <mergeCell ref="G64:H64"/>
    <mergeCell ref="A65:B65"/>
    <mergeCell ref="E65:F65"/>
    <mergeCell ref="G65:H65"/>
    <mergeCell ref="E62:F62"/>
    <mergeCell ref="G62:H62"/>
    <mergeCell ref="A63:B63"/>
    <mergeCell ref="E63:F63"/>
    <mergeCell ref="G63:H63"/>
    <mergeCell ref="G59:H59"/>
    <mergeCell ref="E60:F60"/>
    <mergeCell ref="G60:H60"/>
    <mergeCell ref="E61:F61"/>
    <mergeCell ref="G61:H61"/>
    <mergeCell ref="G16:H16"/>
    <mergeCell ref="J16:K16"/>
    <mergeCell ref="A21:B21"/>
    <mergeCell ref="G21:H21"/>
    <mergeCell ref="A2:K2"/>
    <mergeCell ref="B5:K5"/>
    <mergeCell ref="A9:K9"/>
    <mergeCell ref="B10:G10"/>
    <mergeCell ref="A14:K14"/>
  </mergeCells>
  <printOptions horizontalCentered="1"/>
  <pageMargins left="0.51181102362204722" right="0.51181102362204722" top="0.78740157480314965" bottom="0.78740157480314965" header="0.51181102362204722" footer="0.51181102362204722"/>
  <pageSetup paperSize="9" scale="37" firstPageNumber="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0"/>
  </sheetPr>
  <dimension ref="A1:Y78"/>
  <sheetViews>
    <sheetView showGridLines="0" tabSelected="1" zoomScale="70" zoomScaleNormal="70" zoomScaleSheetLayoutView="50" workbookViewId="0">
      <selection activeCell="B5" sqref="B5"/>
    </sheetView>
  </sheetViews>
  <sheetFormatPr defaultRowHeight="12.75" outlineLevelCol="1"/>
  <cols>
    <col min="1" max="1" width="50.7109375" style="301" customWidth="1"/>
    <col min="2" max="2" width="13.5703125" style="402" customWidth="1" outlineLevel="1"/>
    <col min="3" max="3" width="12" style="403" customWidth="1" outlineLevel="1"/>
    <col min="4" max="4" width="10.140625" style="403" customWidth="1" outlineLevel="1"/>
    <col min="5" max="5" width="13.5703125" style="402" customWidth="1" outlineLevel="1"/>
    <col min="6" max="6" width="12" style="403" customWidth="1" outlineLevel="1"/>
    <col min="7" max="7" width="9.7109375" style="403" customWidth="1" outlineLevel="1"/>
    <col min="8" max="8" width="13.5703125" style="402" customWidth="1" outlineLevel="1"/>
    <col min="9" max="9" width="12" style="403" customWidth="1" outlineLevel="1"/>
    <col min="10" max="10" width="14.28515625" style="403" customWidth="1" outlineLevel="1"/>
    <col min="11" max="11" width="13.5703125" style="309" customWidth="1" outlineLevel="1"/>
    <col min="12" max="12" width="12" style="304" customWidth="1" outlineLevel="1"/>
    <col min="13" max="13" width="10.140625" style="304" customWidth="1" outlineLevel="1"/>
    <col min="14" max="14" width="13.5703125" style="309" customWidth="1" outlineLevel="1"/>
    <col min="15" max="15" width="12" style="304" customWidth="1" outlineLevel="1"/>
    <col min="16" max="16" width="9.7109375" style="304" customWidth="1" outlineLevel="1"/>
    <col min="17" max="17" width="13.5703125" style="309" customWidth="1" outlineLevel="1"/>
    <col min="18" max="18" width="12" style="304" customWidth="1" outlineLevel="1"/>
    <col min="19" max="19" width="10.28515625" style="304" customWidth="1" outlineLevel="1"/>
    <col min="20" max="20" width="2.28515625" style="304" customWidth="1"/>
    <col min="21" max="21" width="2" style="304" customWidth="1"/>
    <col min="22" max="22" width="13.5703125" style="301" customWidth="1"/>
    <col min="23" max="23" width="12" style="302" customWidth="1"/>
    <col min="24" max="24" width="8.85546875" style="303" customWidth="1"/>
    <col min="25" max="265" width="9.140625" style="301"/>
    <col min="266" max="266" width="53.7109375" style="301" customWidth="1"/>
    <col min="267" max="267" width="13.5703125" style="301" customWidth="1"/>
    <col min="268" max="268" width="12" style="301" customWidth="1"/>
    <col min="269" max="269" width="10.140625" style="301" customWidth="1"/>
    <col min="270" max="270" width="13.5703125" style="301" customWidth="1"/>
    <col min="271" max="271" width="12" style="301" customWidth="1"/>
    <col min="272" max="272" width="9.7109375" style="301" customWidth="1"/>
    <col min="273" max="273" width="13.5703125" style="301" customWidth="1"/>
    <col min="274" max="274" width="12" style="301" customWidth="1"/>
    <col min="275" max="275" width="10.28515625" style="301" customWidth="1"/>
    <col min="276" max="276" width="2.28515625" style="301" customWidth="1"/>
    <col min="277" max="277" width="2" style="301" customWidth="1"/>
    <col min="278" max="278" width="13.5703125" style="301" customWidth="1"/>
    <col min="279" max="279" width="12" style="301" customWidth="1"/>
    <col min="280" max="280" width="8.85546875" style="301" customWidth="1"/>
    <col min="281" max="521" width="9.140625" style="301"/>
    <col min="522" max="522" width="53.7109375" style="301" customWidth="1"/>
    <col min="523" max="523" width="13.5703125" style="301" customWidth="1"/>
    <col min="524" max="524" width="12" style="301" customWidth="1"/>
    <col min="525" max="525" width="10.140625" style="301" customWidth="1"/>
    <col min="526" max="526" width="13.5703125" style="301" customWidth="1"/>
    <col min="527" max="527" width="12" style="301" customWidth="1"/>
    <col min="528" max="528" width="9.7109375" style="301" customWidth="1"/>
    <col min="529" max="529" width="13.5703125" style="301" customWidth="1"/>
    <col min="530" max="530" width="12" style="301" customWidth="1"/>
    <col min="531" max="531" width="10.28515625" style="301" customWidth="1"/>
    <col min="532" max="532" width="2.28515625" style="301" customWidth="1"/>
    <col min="533" max="533" width="2" style="301" customWidth="1"/>
    <col min="534" max="534" width="13.5703125" style="301" customWidth="1"/>
    <col min="535" max="535" width="12" style="301" customWidth="1"/>
    <col min="536" max="536" width="8.85546875" style="301" customWidth="1"/>
    <col min="537" max="777" width="9.140625" style="301"/>
    <col min="778" max="778" width="53.7109375" style="301" customWidth="1"/>
    <col min="779" max="779" width="13.5703125" style="301" customWidth="1"/>
    <col min="780" max="780" width="12" style="301" customWidth="1"/>
    <col min="781" max="781" width="10.140625" style="301" customWidth="1"/>
    <col min="782" max="782" width="13.5703125" style="301" customWidth="1"/>
    <col min="783" max="783" width="12" style="301" customWidth="1"/>
    <col min="784" max="784" width="9.7109375" style="301" customWidth="1"/>
    <col min="785" max="785" width="13.5703125" style="301" customWidth="1"/>
    <col min="786" max="786" width="12" style="301" customWidth="1"/>
    <col min="787" max="787" width="10.28515625" style="301" customWidth="1"/>
    <col min="788" max="788" width="2.28515625" style="301" customWidth="1"/>
    <col min="789" max="789" width="2" style="301" customWidth="1"/>
    <col min="790" max="790" width="13.5703125" style="301" customWidth="1"/>
    <col min="791" max="791" width="12" style="301" customWidth="1"/>
    <col min="792" max="792" width="8.85546875" style="301" customWidth="1"/>
    <col min="793" max="1033" width="9.140625" style="301"/>
    <col min="1034" max="1034" width="53.7109375" style="301" customWidth="1"/>
    <col min="1035" max="1035" width="13.5703125" style="301" customWidth="1"/>
    <col min="1036" max="1036" width="12" style="301" customWidth="1"/>
    <col min="1037" max="1037" width="10.140625" style="301" customWidth="1"/>
    <col min="1038" max="1038" width="13.5703125" style="301" customWidth="1"/>
    <col min="1039" max="1039" width="12" style="301" customWidth="1"/>
    <col min="1040" max="1040" width="9.7109375" style="301" customWidth="1"/>
    <col min="1041" max="1041" width="13.5703125" style="301" customWidth="1"/>
    <col min="1042" max="1042" width="12" style="301" customWidth="1"/>
    <col min="1043" max="1043" width="10.28515625" style="301" customWidth="1"/>
    <col min="1044" max="1044" width="2.28515625" style="301" customWidth="1"/>
    <col min="1045" max="1045" width="2" style="301" customWidth="1"/>
    <col min="1046" max="1046" width="13.5703125" style="301" customWidth="1"/>
    <col min="1047" max="1047" width="12" style="301" customWidth="1"/>
    <col min="1048" max="1048" width="8.85546875" style="301" customWidth="1"/>
    <col min="1049" max="1289" width="9.140625" style="301"/>
    <col min="1290" max="1290" width="53.7109375" style="301" customWidth="1"/>
    <col min="1291" max="1291" width="13.5703125" style="301" customWidth="1"/>
    <col min="1292" max="1292" width="12" style="301" customWidth="1"/>
    <col min="1293" max="1293" width="10.140625" style="301" customWidth="1"/>
    <col min="1294" max="1294" width="13.5703125" style="301" customWidth="1"/>
    <col min="1295" max="1295" width="12" style="301" customWidth="1"/>
    <col min="1296" max="1296" width="9.7109375" style="301" customWidth="1"/>
    <col min="1297" max="1297" width="13.5703125" style="301" customWidth="1"/>
    <col min="1298" max="1298" width="12" style="301" customWidth="1"/>
    <col min="1299" max="1299" width="10.28515625" style="301" customWidth="1"/>
    <col min="1300" max="1300" width="2.28515625" style="301" customWidth="1"/>
    <col min="1301" max="1301" width="2" style="301" customWidth="1"/>
    <col min="1302" max="1302" width="13.5703125" style="301" customWidth="1"/>
    <col min="1303" max="1303" width="12" style="301" customWidth="1"/>
    <col min="1304" max="1304" width="8.85546875" style="301" customWidth="1"/>
    <col min="1305" max="1545" width="9.140625" style="301"/>
    <col min="1546" max="1546" width="53.7109375" style="301" customWidth="1"/>
    <col min="1547" max="1547" width="13.5703125" style="301" customWidth="1"/>
    <col min="1548" max="1548" width="12" style="301" customWidth="1"/>
    <col min="1549" max="1549" width="10.140625" style="301" customWidth="1"/>
    <col min="1550" max="1550" width="13.5703125" style="301" customWidth="1"/>
    <col min="1551" max="1551" width="12" style="301" customWidth="1"/>
    <col min="1552" max="1552" width="9.7109375" style="301" customWidth="1"/>
    <col min="1553" max="1553" width="13.5703125" style="301" customWidth="1"/>
    <col min="1554" max="1554" width="12" style="301" customWidth="1"/>
    <col min="1555" max="1555" width="10.28515625" style="301" customWidth="1"/>
    <col min="1556" max="1556" width="2.28515625" style="301" customWidth="1"/>
    <col min="1557" max="1557" width="2" style="301" customWidth="1"/>
    <col min="1558" max="1558" width="13.5703125" style="301" customWidth="1"/>
    <col min="1559" max="1559" width="12" style="301" customWidth="1"/>
    <col min="1560" max="1560" width="8.85546875" style="301" customWidth="1"/>
    <col min="1561" max="1801" width="9.140625" style="301"/>
    <col min="1802" max="1802" width="53.7109375" style="301" customWidth="1"/>
    <col min="1803" max="1803" width="13.5703125" style="301" customWidth="1"/>
    <col min="1804" max="1804" width="12" style="301" customWidth="1"/>
    <col min="1805" max="1805" width="10.140625" style="301" customWidth="1"/>
    <col min="1806" max="1806" width="13.5703125" style="301" customWidth="1"/>
    <col min="1807" max="1807" width="12" style="301" customWidth="1"/>
    <col min="1808" max="1808" width="9.7109375" style="301" customWidth="1"/>
    <col min="1809" max="1809" width="13.5703125" style="301" customWidth="1"/>
    <col min="1810" max="1810" width="12" style="301" customWidth="1"/>
    <col min="1811" max="1811" width="10.28515625" style="301" customWidth="1"/>
    <col min="1812" max="1812" width="2.28515625" style="301" customWidth="1"/>
    <col min="1813" max="1813" width="2" style="301" customWidth="1"/>
    <col min="1814" max="1814" width="13.5703125" style="301" customWidth="1"/>
    <col min="1815" max="1815" width="12" style="301" customWidth="1"/>
    <col min="1816" max="1816" width="8.85546875" style="301" customWidth="1"/>
    <col min="1817" max="2057" width="9.140625" style="301"/>
    <col min="2058" max="2058" width="53.7109375" style="301" customWidth="1"/>
    <col min="2059" max="2059" width="13.5703125" style="301" customWidth="1"/>
    <col min="2060" max="2060" width="12" style="301" customWidth="1"/>
    <col min="2061" max="2061" width="10.140625" style="301" customWidth="1"/>
    <col min="2062" max="2062" width="13.5703125" style="301" customWidth="1"/>
    <col min="2063" max="2063" width="12" style="301" customWidth="1"/>
    <col min="2064" max="2064" width="9.7109375" style="301" customWidth="1"/>
    <col min="2065" max="2065" width="13.5703125" style="301" customWidth="1"/>
    <col min="2066" max="2066" width="12" style="301" customWidth="1"/>
    <col min="2067" max="2067" width="10.28515625" style="301" customWidth="1"/>
    <col min="2068" max="2068" width="2.28515625" style="301" customWidth="1"/>
    <col min="2069" max="2069" width="2" style="301" customWidth="1"/>
    <col min="2070" max="2070" width="13.5703125" style="301" customWidth="1"/>
    <col min="2071" max="2071" width="12" style="301" customWidth="1"/>
    <col min="2072" max="2072" width="8.85546875" style="301" customWidth="1"/>
    <col min="2073" max="2313" width="9.140625" style="301"/>
    <col min="2314" max="2314" width="53.7109375" style="301" customWidth="1"/>
    <col min="2315" max="2315" width="13.5703125" style="301" customWidth="1"/>
    <col min="2316" max="2316" width="12" style="301" customWidth="1"/>
    <col min="2317" max="2317" width="10.140625" style="301" customWidth="1"/>
    <col min="2318" max="2318" width="13.5703125" style="301" customWidth="1"/>
    <col min="2319" max="2319" width="12" style="301" customWidth="1"/>
    <col min="2320" max="2320" width="9.7109375" style="301" customWidth="1"/>
    <col min="2321" max="2321" width="13.5703125" style="301" customWidth="1"/>
    <col min="2322" max="2322" width="12" style="301" customWidth="1"/>
    <col min="2323" max="2323" width="10.28515625" style="301" customWidth="1"/>
    <col min="2324" max="2324" width="2.28515625" style="301" customWidth="1"/>
    <col min="2325" max="2325" width="2" style="301" customWidth="1"/>
    <col min="2326" max="2326" width="13.5703125" style="301" customWidth="1"/>
    <col min="2327" max="2327" width="12" style="301" customWidth="1"/>
    <col min="2328" max="2328" width="8.85546875" style="301" customWidth="1"/>
    <col min="2329" max="2569" width="9.140625" style="301"/>
    <col min="2570" max="2570" width="53.7109375" style="301" customWidth="1"/>
    <col min="2571" max="2571" width="13.5703125" style="301" customWidth="1"/>
    <col min="2572" max="2572" width="12" style="301" customWidth="1"/>
    <col min="2573" max="2573" width="10.140625" style="301" customWidth="1"/>
    <col min="2574" max="2574" width="13.5703125" style="301" customWidth="1"/>
    <col min="2575" max="2575" width="12" style="301" customWidth="1"/>
    <col min="2576" max="2576" width="9.7109375" style="301" customWidth="1"/>
    <col min="2577" max="2577" width="13.5703125" style="301" customWidth="1"/>
    <col min="2578" max="2578" width="12" style="301" customWidth="1"/>
    <col min="2579" max="2579" width="10.28515625" style="301" customWidth="1"/>
    <col min="2580" max="2580" width="2.28515625" style="301" customWidth="1"/>
    <col min="2581" max="2581" width="2" style="301" customWidth="1"/>
    <col min="2582" max="2582" width="13.5703125" style="301" customWidth="1"/>
    <col min="2583" max="2583" width="12" style="301" customWidth="1"/>
    <col min="2584" max="2584" width="8.85546875" style="301" customWidth="1"/>
    <col min="2585" max="2825" width="9.140625" style="301"/>
    <col min="2826" max="2826" width="53.7109375" style="301" customWidth="1"/>
    <col min="2827" max="2827" width="13.5703125" style="301" customWidth="1"/>
    <col min="2828" max="2828" width="12" style="301" customWidth="1"/>
    <col min="2829" max="2829" width="10.140625" style="301" customWidth="1"/>
    <col min="2830" max="2830" width="13.5703125" style="301" customWidth="1"/>
    <col min="2831" max="2831" width="12" style="301" customWidth="1"/>
    <col min="2832" max="2832" width="9.7109375" style="301" customWidth="1"/>
    <col min="2833" max="2833" width="13.5703125" style="301" customWidth="1"/>
    <col min="2834" max="2834" width="12" style="301" customWidth="1"/>
    <col min="2835" max="2835" width="10.28515625" style="301" customWidth="1"/>
    <col min="2836" max="2836" width="2.28515625" style="301" customWidth="1"/>
    <col min="2837" max="2837" width="2" style="301" customWidth="1"/>
    <col min="2838" max="2838" width="13.5703125" style="301" customWidth="1"/>
    <col min="2839" max="2839" width="12" style="301" customWidth="1"/>
    <col min="2840" max="2840" width="8.85546875" style="301" customWidth="1"/>
    <col min="2841" max="3081" width="9.140625" style="301"/>
    <col min="3082" max="3082" width="53.7109375" style="301" customWidth="1"/>
    <col min="3083" max="3083" width="13.5703125" style="301" customWidth="1"/>
    <col min="3084" max="3084" width="12" style="301" customWidth="1"/>
    <col min="3085" max="3085" width="10.140625" style="301" customWidth="1"/>
    <col min="3086" max="3086" width="13.5703125" style="301" customWidth="1"/>
    <col min="3087" max="3087" width="12" style="301" customWidth="1"/>
    <col min="3088" max="3088" width="9.7109375" style="301" customWidth="1"/>
    <col min="3089" max="3089" width="13.5703125" style="301" customWidth="1"/>
    <col min="3090" max="3090" width="12" style="301" customWidth="1"/>
    <col min="3091" max="3091" width="10.28515625" style="301" customWidth="1"/>
    <col min="3092" max="3092" width="2.28515625" style="301" customWidth="1"/>
    <col min="3093" max="3093" width="2" style="301" customWidth="1"/>
    <col min="3094" max="3094" width="13.5703125" style="301" customWidth="1"/>
    <col min="3095" max="3095" width="12" style="301" customWidth="1"/>
    <col min="3096" max="3096" width="8.85546875" style="301" customWidth="1"/>
    <col min="3097" max="3337" width="9.140625" style="301"/>
    <col min="3338" max="3338" width="53.7109375" style="301" customWidth="1"/>
    <col min="3339" max="3339" width="13.5703125" style="301" customWidth="1"/>
    <col min="3340" max="3340" width="12" style="301" customWidth="1"/>
    <col min="3341" max="3341" width="10.140625" style="301" customWidth="1"/>
    <col min="3342" max="3342" width="13.5703125" style="301" customWidth="1"/>
    <col min="3343" max="3343" width="12" style="301" customWidth="1"/>
    <col min="3344" max="3344" width="9.7109375" style="301" customWidth="1"/>
    <col min="3345" max="3345" width="13.5703125" style="301" customWidth="1"/>
    <col min="3346" max="3346" width="12" style="301" customWidth="1"/>
    <col min="3347" max="3347" width="10.28515625" style="301" customWidth="1"/>
    <col min="3348" max="3348" width="2.28515625" style="301" customWidth="1"/>
    <col min="3349" max="3349" width="2" style="301" customWidth="1"/>
    <col min="3350" max="3350" width="13.5703125" style="301" customWidth="1"/>
    <col min="3351" max="3351" width="12" style="301" customWidth="1"/>
    <col min="3352" max="3352" width="8.85546875" style="301" customWidth="1"/>
    <col min="3353" max="3593" width="9.140625" style="301"/>
    <col min="3594" max="3594" width="53.7109375" style="301" customWidth="1"/>
    <col min="3595" max="3595" width="13.5703125" style="301" customWidth="1"/>
    <col min="3596" max="3596" width="12" style="301" customWidth="1"/>
    <col min="3597" max="3597" width="10.140625" style="301" customWidth="1"/>
    <col min="3598" max="3598" width="13.5703125" style="301" customWidth="1"/>
    <col min="3599" max="3599" width="12" style="301" customWidth="1"/>
    <col min="3600" max="3600" width="9.7109375" style="301" customWidth="1"/>
    <col min="3601" max="3601" width="13.5703125" style="301" customWidth="1"/>
    <col min="3602" max="3602" width="12" style="301" customWidth="1"/>
    <col min="3603" max="3603" width="10.28515625" style="301" customWidth="1"/>
    <col min="3604" max="3604" width="2.28515625" style="301" customWidth="1"/>
    <col min="3605" max="3605" width="2" style="301" customWidth="1"/>
    <col min="3606" max="3606" width="13.5703125" style="301" customWidth="1"/>
    <col min="3607" max="3607" width="12" style="301" customWidth="1"/>
    <col min="3608" max="3608" width="8.85546875" style="301" customWidth="1"/>
    <col min="3609" max="3849" width="9.140625" style="301"/>
    <col min="3850" max="3850" width="53.7109375" style="301" customWidth="1"/>
    <col min="3851" max="3851" width="13.5703125" style="301" customWidth="1"/>
    <col min="3852" max="3852" width="12" style="301" customWidth="1"/>
    <col min="3853" max="3853" width="10.140625" style="301" customWidth="1"/>
    <col min="3854" max="3854" width="13.5703125" style="301" customWidth="1"/>
    <col min="3855" max="3855" width="12" style="301" customWidth="1"/>
    <col min="3856" max="3856" width="9.7109375" style="301" customWidth="1"/>
    <col min="3857" max="3857" width="13.5703125" style="301" customWidth="1"/>
    <col min="3858" max="3858" width="12" style="301" customWidth="1"/>
    <col min="3859" max="3859" width="10.28515625" style="301" customWidth="1"/>
    <col min="3860" max="3860" width="2.28515625" style="301" customWidth="1"/>
    <col min="3861" max="3861" width="2" style="301" customWidth="1"/>
    <col min="3862" max="3862" width="13.5703125" style="301" customWidth="1"/>
    <col min="3863" max="3863" width="12" style="301" customWidth="1"/>
    <col min="3864" max="3864" width="8.85546875" style="301" customWidth="1"/>
    <col min="3865" max="4105" width="9.140625" style="301"/>
    <col min="4106" max="4106" width="53.7109375" style="301" customWidth="1"/>
    <col min="4107" max="4107" width="13.5703125" style="301" customWidth="1"/>
    <col min="4108" max="4108" width="12" style="301" customWidth="1"/>
    <col min="4109" max="4109" width="10.140625" style="301" customWidth="1"/>
    <col min="4110" max="4110" width="13.5703125" style="301" customWidth="1"/>
    <col min="4111" max="4111" width="12" style="301" customWidth="1"/>
    <col min="4112" max="4112" width="9.7109375" style="301" customWidth="1"/>
    <col min="4113" max="4113" width="13.5703125" style="301" customWidth="1"/>
    <col min="4114" max="4114" width="12" style="301" customWidth="1"/>
    <col min="4115" max="4115" width="10.28515625" style="301" customWidth="1"/>
    <col min="4116" max="4116" width="2.28515625" style="301" customWidth="1"/>
    <col min="4117" max="4117" width="2" style="301" customWidth="1"/>
    <col min="4118" max="4118" width="13.5703125" style="301" customWidth="1"/>
    <col min="4119" max="4119" width="12" style="301" customWidth="1"/>
    <col min="4120" max="4120" width="8.85546875" style="301" customWidth="1"/>
    <col min="4121" max="4361" width="9.140625" style="301"/>
    <col min="4362" max="4362" width="53.7109375" style="301" customWidth="1"/>
    <col min="4363" max="4363" width="13.5703125" style="301" customWidth="1"/>
    <col min="4364" max="4364" width="12" style="301" customWidth="1"/>
    <col min="4365" max="4365" width="10.140625" style="301" customWidth="1"/>
    <col min="4366" max="4366" width="13.5703125" style="301" customWidth="1"/>
    <col min="4367" max="4367" width="12" style="301" customWidth="1"/>
    <col min="4368" max="4368" width="9.7109375" style="301" customWidth="1"/>
    <col min="4369" max="4369" width="13.5703125" style="301" customWidth="1"/>
    <col min="4370" max="4370" width="12" style="301" customWidth="1"/>
    <col min="4371" max="4371" width="10.28515625" style="301" customWidth="1"/>
    <col min="4372" max="4372" width="2.28515625" style="301" customWidth="1"/>
    <col min="4373" max="4373" width="2" style="301" customWidth="1"/>
    <col min="4374" max="4374" width="13.5703125" style="301" customWidth="1"/>
    <col min="4375" max="4375" width="12" style="301" customWidth="1"/>
    <col min="4376" max="4376" width="8.85546875" style="301" customWidth="1"/>
    <col min="4377" max="4617" width="9.140625" style="301"/>
    <col min="4618" max="4618" width="53.7109375" style="301" customWidth="1"/>
    <col min="4619" max="4619" width="13.5703125" style="301" customWidth="1"/>
    <col min="4620" max="4620" width="12" style="301" customWidth="1"/>
    <col min="4621" max="4621" width="10.140625" style="301" customWidth="1"/>
    <col min="4622" max="4622" width="13.5703125" style="301" customWidth="1"/>
    <col min="4623" max="4623" width="12" style="301" customWidth="1"/>
    <col min="4624" max="4624" width="9.7109375" style="301" customWidth="1"/>
    <col min="4625" max="4625" width="13.5703125" style="301" customWidth="1"/>
    <col min="4626" max="4626" width="12" style="301" customWidth="1"/>
    <col min="4627" max="4627" width="10.28515625" style="301" customWidth="1"/>
    <col min="4628" max="4628" width="2.28515625" style="301" customWidth="1"/>
    <col min="4629" max="4629" width="2" style="301" customWidth="1"/>
    <col min="4630" max="4630" width="13.5703125" style="301" customWidth="1"/>
    <col min="4631" max="4631" width="12" style="301" customWidth="1"/>
    <col min="4632" max="4632" width="8.85546875" style="301" customWidth="1"/>
    <col min="4633" max="4873" width="9.140625" style="301"/>
    <col min="4874" max="4874" width="53.7109375" style="301" customWidth="1"/>
    <col min="4875" max="4875" width="13.5703125" style="301" customWidth="1"/>
    <col min="4876" max="4876" width="12" style="301" customWidth="1"/>
    <col min="4877" max="4877" width="10.140625" style="301" customWidth="1"/>
    <col min="4878" max="4878" width="13.5703125" style="301" customWidth="1"/>
    <col min="4879" max="4879" width="12" style="301" customWidth="1"/>
    <col min="4880" max="4880" width="9.7109375" style="301" customWidth="1"/>
    <col min="4881" max="4881" width="13.5703125" style="301" customWidth="1"/>
    <col min="4882" max="4882" width="12" style="301" customWidth="1"/>
    <col min="4883" max="4883" width="10.28515625" style="301" customWidth="1"/>
    <col min="4884" max="4884" width="2.28515625" style="301" customWidth="1"/>
    <col min="4885" max="4885" width="2" style="301" customWidth="1"/>
    <col min="4886" max="4886" width="13.5703125" style="301" customWidth="1"/>
    <col min="4887" max="4887" width="12" style="301" customWidth="1"/>
    <col min="4888" max="4888" width="8.85546875" style="301" customWidth="1"/>
    <col min="4889" max="5129" width="9.140625" style="301"/>
    <col min="5130" max="5130" width="53.7109375" style="301" customWidth="1"/>
    <col min="5131" max="5131" width="13.5703125" style="301" customWidth="1"/>
    <col min="5132" max="5132" width="12" style="301" customWidth="1"/>
    <col min="5133" max="5133" width="10.140625" style="301" customWidth="1"/>
    <col min="5134" max="5134" width="13.5703125" style="301" customWidth="1"/>
    <col min="5135" max="5135" width="12" style="301" customWidth="1"/>
    <col min="5136" max="5136" width="9.7109375" style="301" customWidth="1"/>
    <col min="5137" max="5137" width="13.5703125" style="301" customWidth="1"/>
    <col min="5138" max="5138" width="12" style="301" customWidth="1"/>
    <col min="5139" max="5139" width="10.28515625" style="301" customWidth="1"/>
    <col min="5140" max="5140" width="2.28515625" style="301" customWidth="1"/>
    <col min="5141" max="5141" width="2" style="301" customWidth="1"/>
    <col min="5142" max="5142" width="13.5703125" style="301" customWidth="1"/>
    <col min="5143" max="5143" width="12" style="301" customWidth="1"/>
    <col min="5144" max="5144" width="8.85546875" style="301" customWidth="1"/>
    <col min="5145" max="5385" width="9.140625" style="301"/>
    <col min="5386" max="5386" width="53.7109375" style="301" customWidth="1"/>
    <col min="5387" max="5387" width="13.5703125" style="301" customWidth="1"/>
    <col min="5388" max="5388" width="12" style="301" customWidth="1"/>
    <col min="5389" max="5389" width="10.140625" style="301" customWidth="1"/>
    <col min="5390" max="5390" width="13.5703125" style="301" customWidth="1"/>
    <col min="5391" max="5391" width="12" style="301" customWidth="1"/>
    <col min="5392" max="5392" width="9.7109375" style="301" customWidth="1"/>
    <col min="5393" max="5393" width="13.5703125" style="301" customWidth="1"/>
    <col min="5394" max="5394" width="12" style="301" customWidth="1"/>
    <col min="5395" max="5395" width="10.28515625" style="301" customWidth="1"/>
    <col min="5396" max="5396" width="2.28515625" style="301" customWidth="1"/>
    <col min="5397" max="5397" width="2" style="301" customWidth="1"/>
    <col min="5398" max="5398" width="13.5703125" style="301" customWidth="1"/>
    <col min="5399" max="5399" width="12" style="301" customWidth="1"/>
    <col min="5400" max="5400" width="8.85546875" style="301" customWidth="1"/>
    <col min="5401" max="5641" width="9.140625" style="301"/>
    <col min="5642" max="5642" width="53.7109375" style="301" customWidth="1"/>
    <col min="5643" max="5643" width="13.5703125" style="301" customWidth="1"/>
    <col min="5644" max="5644" width="12" style="301" customWidth="1"/>
    <col min="5645" max="5645" width="10.140625" style="301" customWidth="1"/>
    <col min="5646" max="5646" width="13.5703125" style="301" customWidth="1"/>
    <col min="5647" max="5647" width="12" style="301" customWidth="1"/>
    <col min="5648" max="5648" width="9.7109375" style="301" customWidth="1"/>
    <col min="5649" max="5649" width="13.5703125" style="301" customWidth="1"/>
    <col min="5650" max="5650" width="12" style="301" customWidth="1"/>
    <col min="5651" max="5651" width="10.28515625" style="301" customWidth="1"/>
    <col min="5652" max="5652" width="2.28515625" style="301" customWidth="1"/>
    <col min="5653" max="5653" width="2" style="301" customWidth="1"/>
    <col min="5654" max="5654" width="13.5703125" style="301" customWidth="1"/>
    <col min="5655" max="5655" width="12" style="301" customWidth="1"/>
    <col min="5656" max="5656" width="8.85546875" style="301" customWidth="1"/>
    <col min="5657" max="5897" width="9.140625" style="301"/>
    <col min="5898" max="5898" width="53.7109375" style="301" customWidth="1"/>
    <col min="5899" max="5899" width="13.5703125" style="301" customWidth="1"/>
    <col min="5900" max="5900" width="12" style="301" customWidth="1"/>
    <col min="5901" max="5901" width="10.140625" style="301" customWidth="1"/>
    <col min="5902" max="5902" width="13.5703125" style="301" customWidth="1"/>
    <col min="5903" max="5903" width="12" style="301" customWidth="1"/>
    <col min="5904" max="5904" width="9.7109375" style="301" customWidth="1"/>
    <col min="5905" max="5905" width="13.5703125" style="301" customWidth="1"/>
    <col min="5906" max="5906" width="12" style="301" customWidth="1"/>
    <col min="5907" max="5907" width="10.28515625" style="301" customWidth="1"/>
    <col min="5908" max="5908" width="2.28515625" style="301" customWidth="1"/>
    <col min="5909" max="5909" width="2" style="301" customWidth="1"/>
    <col min="5910" max="5910" width="13.5703125" style="301" customWidth="1"/>
    <col min="5911" max="5911" width="12" style="301" customWidth="1"/>
    <col min="5912" max="5912" width="8.85546875" style="301" customWidth="1"/>
    <col min="5913" max="6153" width="9.140625" style="301"/>
    <col min="6154" max="6154" width="53.7109375" style="301" customWidth="1"/>
    <col min="6155" max="6155" width="13.5703125" style="301" customWidth="1"/>
    <col min="6156" max="6156" width="12" style="301" customWidth="1"/>
    <col min="6157" max="6157" width="10.140625" style="301" customWidth="1"/>
    <col min="6158" max="6158" width="13.5703125" style="301" customWidth="1"/>
    <col min="6159" max="6159" width="12" style="301" customWidth="1"/>
    <col min="6160" max="6160" width="9.7109375" style="301" customWidth="1"/>
    <col min="6161" max="6161" width="13.5703125" style="301" customWidth="1"/>
    <col min="6162" max="6162" width="12" style="301" customWidth="1"/>
    <col min="6163" max="6163" width="10.28515625" style="301" customWidth="1"/>
    <col min="6164" max="6164" width="2.28515625" style="301" customWidth="1"/>
    <col min="6165" max="6165" width="2" style="301" customWidth="1"/>
    <col min="6166" max="6166" width="13.5703125" style="301" customWidth="1"/>
    <col min="6167" max="6167" width="12" style="301" customWidth="1"/>
    <col min="6168" max="6168" width="8.85546875" style="301" customWidth="1"/>
    <col min="6169" max="6409" width="9.140625" style="301"/>
    <col min="6410" max="6410" width="53.7109375" style="301" customWidth="1"/>
    <col min="6411" max="6411" width="13.5703125" style="301" customWidth="1"/>
    <col min="6412" max="6412" width="12" style="301" customWidth="1"/>
    <col min="6413" max="6413" width="10.140625" style="301" customWidth="1"/>
    <col min="6414" max="6414" width="13.5703125" style="301" customWidth="1"/>
    <col min="6415" max="6415" width="12" style="301" customWidth="1"/>
    <col min="6416" max="6416" width="9.7109375" style="301" customWidth="1"/>
    <col min="6417" max="6417" width="13.5703125" style="301" customWidth="1"/>
    <col min="6418" max="6418" width="12" style="301" customWidth="1"/>
    <col min="6419" max="6419" width="10.28515625" style="301" customWidth="1"/>
    <col min="6420" max="6420" width="2.28515625" style="301" customWidth="1"/>
    <col min="6421" max="6421" width="2" style="301" customWidth="1"/>
    <col min="6422" max="6422" width="13.5703125" style="301" customWidth="1"/>
    <col min="6423" max="6423" width="12" style="301" customWidth="1"/>
    <col min="6424" max="6424" width="8.85546875" style="301" customWidth="1"/>
    <col min="6425" max="6665" width="9.140625" style="301"/>
    <col min="6666" max="6666" width="53.7109375" style="301" customWidth="1"/>
    <col min="6667" max="6667" width="13.5703125" style="301" customWidth="1"/>
    <col min="6668" max="6668" width="12" style="301" customWidth="1"/>
    <col min="6669" max="6669" width="10.140625" style="301" customWidth="1"/>
    <col min="6670" max="6670" width="13.5703125" style="301" customWidth="1"/>
    <col min="6671" max="6671" width="12" style="301" customWidth="1"/>
    <col min="6672" max="6672" width="9.7109375" style="301" customWidth="1"/>
    <col min="6673" max="6673" width="13.5703125" style="301" customWidth="1"/>
    <col min="6674" max="6674" width="12" style="301" customWidth="1"/>
    <col min="6675" max="6675" width="10.28515625" style="301" customWidth="1"/>
    <col min="6676" max="6676" width="2.28515625" style="301" customWidth="1"/>
    <col min="6677" max="6677" width="2" style="301" customWidth="1"/>
    <col min="6678" max="6678" width="13.5703125" style="301" customWidth="1"/>
    <col min="6679" max="6679" width="12" style="301" customWidth="1"/>
    <col min="6680" max="6680" width="8.85546875" style="301" customWidth="1"/>
    <col min="6681" max="6921" width="9.140625" style="301"/>
    <col min="6922" max="6922" width="53.7109375" style="301" customWidth="1"/>
    <col min="6923" max="6923" width="13.5703125" style="301" customWidth="1"/>
    <col min="6924" max="6924" width="12" style="301" customWidth="1"/>
    <col min="6925" max="6925" width="10.140625" style="301" customWidth="1"/>
    <col min="6926" max="6926" width="13.5703125" style="301" customWidth="1"/>
    <col min="6927" max="6927" width="12" style="301" customWidth="1"/>
    <col min="6928" max="6928" width="9.7109375" style="301" customWidth="1"/>
    <col min="6929" max="6929" width="13.5703125" style="301" customWidth="1"/>
    <col min="6930" max="6930" width="12" style="301" customWidth="1"/>
    <col min="6931" max="6931" width="10.28515625" style="301" customWidth="1"/>
    <col min="6932" max="6932" width="2.28515625" style="301" customWidth="1"/>
    <col min="6933" max="6933" width="2" style="301" customWidth="1"/>
    <col min="6934" max="6934" width="13.5703125" style="301" customWidth="1"/>
    <col min="6935" max="6935" width="12" style="301" customWidth="1"/>
    <col min="6936" max="6936" width="8.85546875" style="301" customWidth="1"/>
    <col min="6937" max="7177" width="9.140625" style="301"/>
    <col min="7178" max="7178" width="53.7109375" style="301" customWidth="1"/>
    <col min="7179" max="7179" width="13.5703125" style="301" customWidth="1"/>
    <col min="7180" max="7180" width="12" style="301" customWidth="1"/>
    <col min="7181" max="7181" width="10.140625" style="301" customWidth="1"/>
    <col min="7182" max="7182" width="13.5703125" style="301" customWidth="1"/>
    <col min="7183" max="7183" width="12" style="301" customWidth="1"/>
    <col min="7184" max="7184" width="9.7109375" style="301" customWidth="1"/>
    <col min="7185" max="7185" width="13.5703125" style="301" customWidth="1"/>
    <col min="7186" max="7186" width="12" style="301" customWidth="1"/>
    <col min="7187" max="7187" width="10.28515625" style="301" customWidth="1"/>
    <col min="7188" max="7188" width="2.28515625" style="301" customWidth="1"/>
    <col min="7189" max="7189" width="2" style="301" customWidth="1"/>
    <col min="7190" max="7190" width="13.5703125" style="301" customWidth="1"/>
    <col min="7191" max="7191" width="12" style="301" customWidth="1"/>
    <col min="7192" max="7192" width="8.85546875" style="301" customWidth="1"/>
    <col min="7193" max="7433" width="9.140625" style="301"/>
    <col min="7434" max="7434" width="53.7109375" style="301" customWidth="1"/>
    <col min="7435" max="7435" width="13.5703125" style="301" customWidth="1"/>
    <col min="7436" max="7436" width="12" style="301" customWidth="1"/>
    <col min="7437" max="7437" width="10.140625" style="301" customWidth="1"/>
    <col min="7438" max="7438" width="13.5703125" style="301" customWidth="1"/>
    <col min="7439" max="7439" width="12" style="301" customWidth="1"/>
    <col min="7440" max="7440" width="9.7109375" style="301" customWidth="1"/>
    <col min="7441" max="7441" width="13.5703125" style="301" customWidth="1"/>
    <col min="7442" max="7442" width="12" style="301" customWidth="1"/>
    <col min="7443" max="7443" width="10.28515625" style="301" customWidth="1"/>
    <col min="7444" max="7444" width="2.28515625" style="301" customWidth="1"/>
    <col min="7445" max="7445" width="2" style="301" customWidth="1"/>
    <col min="7446" max="7446" width="13.5703125" style="301" customWidth="1"/>
    <col min="7447" max="7447" width="12" style="301" customWidth="1"/>
    <col min="7448" max="7448" width="8.85546875" style="301" customWidth="1"/>
    <col min="7449" max="7689" width="9.140625" style="301"/>
    <col min="7690" max="7690" width="53.7109375" style="301" customWidth="1"/>
    <col min="7691" max="7691" width="13.5703125" style="301" customWidth="1"/>
    <col min="7692" max="7692" width="12" style="301" customWidth="1"/>
    <col min="7693" max="7693" width="10.140625" style="301" customWidth="1"/>
    <col min="7694" max="7694" width="13.5703125" style="301" customWidth="1"/>
    <col min="7695" max="7695" width="12" style="301" customWidth="1"/>
    <col min="7696" max="7696" width="9.7109375" style="301" customWidth="1"/>
    <col min="7697" max="7697" width="13.5703125" style="301" customWidth="1"/>
    <col min="7698" max="7698" width="12" style="301" customWidth="1"/>
    <col min="7699" max="7699" width="10.28515625" style="301" customWidth="1"/>
    <col min="7700" max="7700" width="2.28515625" style="301" customWidth="1"/>
    <col min="7701" max="7701" width="2" style="301" customWidth="1"/>
    <col min="7702" max="7702" width="13.5703125" style="301" customWidth="1"/>
    <col min="7703" max="7703" width="12" style="301" customWidth="1"/>
    <col min="7704" max="7704" width="8.85546875" style="301" customWidth="1"/>
    <col min="7705" max="7945" width="9.140625" style="301"/>
    <col min="7946" max="7946" width="53.7109375" style="301" customWidth="1"/>
    <col min="7947" max="7947" width="13.5703125" style="301" customWidth="1"/>
    <col min="7948" max="7948" width="12" style="301" customWidth="1"/>
    <col min="7949" max="7949" width="10.140625" style="301" customWidth="1"/>
    <col min="7950" max="7950" width="13.5703125" style="301" customWidth="1"/>
    <col min="7951" max="7951" width="12" style="301" customWidth="1"/>
    <col min="7952" max="7952" width="9.7109375" style="301" customWidth="1"/>
    <col min="7953" max="7953" width="13.5703125" style="301" customWidth="1"/>
    <col min="7954" max="7954" width="12" style="301" customWidth="1"/>
    <col min="7955" max="7955" width="10.28515625" style="301" customWidth="1"/>
    <col min="7956" max="7956" width="2.28515625" style="301" customWidth="1"/>
    <col min="7957" max="7957" width="2" style="301" customWidth="1"/>
    <col min="7958" max="7958" width="13.5703125" style="301" customWidth="1"/>
    <col min="7959" max="7959" width="12" style="301" customWidth="1"/>
    <col min="7960" max="7960" width="8.85546875" style="301" customWidth="1"/>
    <col min="7961" max="8201" width="9.140625" style="301"/>
    <col min="8202" max="8202" width="53.7109375" style="301" customWidth="1"/>
    <col min="8203" max="8203" width="13.5703125" style="301" customWidth="1"/>
    <col min="8204" max="8204" width="12" style="301" customWidth="1"/>
    <col min="8205" max="8205" width="10.140625" style="301" customWidth="1"/>
    <col min="8206" max="8206" width="13.5703125" style="301" customWidth="1"/>
    <col min="8207" max="8207" width="12" style="301" customWidth="1"/>
    <col min="8208" max="8208" width="9.7109375" style="301" customWidth="1"/>
    <col min="8209" max="8209" width="13.5703125" style="301" customWidth="1"/>
    <col min="8210" max="8210" width="12" style="301" customWidth="1"/>
    <col min="8211" max="8211" width="10.28515625" style="301" customWidth="1"/>
    <col min="8212" max="8212" width="2.28515625" style="301" customWidth="1"/>
    <col min="8213" max="8213" width="2" style="301" customWidth="1"/>
    <col min="8214" max="8214" width="13.5703125" style="301" customWidth="1"/>
    <col min="8215" max="8215" width="12" style="301" customWidth="1"/>
    <col min="8216" max="8216" width="8.85546875" style="301" customWidth="1"/>
    <col min="8217" max="8457" width="9.140625" style="301"/>
    <col min="8458" max="8458" width="53.7109375" style="301" customWidth="1"/>
    <col min="8459" max="8459" width="13.5703125" style="301" customWidth="1"/>
    <col min="8460" max="8460" width="12" style="301" customWidth="1"/>
    <col min="8461" max="8461" width="10.140625" style="301" customWidth="1"/>
    <col min="8462" max="8462" width="13.5703125" style="301" customWidth="1"/>
    <col min="8463" max="8463" width="12" style="301" customWidth="1"/>
    <col min="8464" max="8464" width="9.7109375" style="301" customWidth="1"/>
    <col min="8465" max="8465" width="13.5703125" style="301" customWidth="1"/>
    <col min="8466" max="8466" width="12" style="301" customWidth="1"/>
    <col min="8467" max="8467" width="10.28515625" style="301" customWidth="1"/>
    <col min="8468" max="8468" width="2.28515625" style="301" customWidth="1"/>
    <col min="8469" max="8469" width="2" style="301" customWidth="1"/>
    <col min="8470" max="8470" width="13.5703125" style="301" customWidth="1"/>
    <col min="8471" max="8471" width="12" style="301" customWidth="1"/>
    <col min="8472" max="8472" width="8.85546875" style="301" customWidth="1"/>
    <col min="8473" max="8713" width="9.140625" style="301"/>
    <col min="8714" max="8714" width="53.7109375" style="301" customWidth="1"/>
    <col min="8715" max="8715" width="13.5703125" style="301" customWidth="1"/>
    <col min="8716" max="8716" width="12" style="301" customWidth="1"/>
    <col min="8717" max="8717" width="10.140625" style="301" customWidth="1"/>
    <col min="8718" max="8718" width="13.5703125" style="301" customWidth="1"/>
    <col min="8719" max="8719" width="12" style="301" customWidth="1"/>
    <col min="8720" max="8720" width="9.7109375" style="301" customWidth="1"/>
    <col min="8721" max="8721" width="13.5703125" style="301" customWidth="1"/>
    <col min="8722" max="8722" width="12" style="301" customWidth="1"/>
    <col min="8723" max="8723" width="10.28515625" style="301" customWidth="1"/>
    <col min="8724" max="8724" width="2.28515625" style="301" customWidth="1"/>
    <col min="8725" max="8725" width="2" style="301" customWidth="1"/>
    <col min="8726" max="8726" width="13.5703125" style="301" customWidth="1"/>
    <col min="8727" max="8727" width="12" style="301" customWidth="1"/>
    <col min="8728" max="8728" width="8.85546875" style="301" customWidth="1"/>
    <col min="8729" max="8969" width="9.140625" style="301"/>
    <col min="8970" max="8970" width="53.7109375" style="301" customWidth="1"/>
    <col min="8971" max="8971" width="13.5703125" style="301" customWidth="1"/>
    <col min="8972" max="8972" width="12" style="301" customWidth="1"/>
    <col min="8973" max="8973" width="10.140625" style="301" customWidth="1"/>
    <col min="8974" max="8974" width="13.5703125" style="301" customWidth="1"/>
    <col min="8975" max="8975" width="12" style="301" customWidth="1"/>
    <col min="8976" max="8976" width="9.7109375" style="301" customWidth="1"/>
    <col min="8977" max="8977" width="13.5703125" style="301" customWidth="1"/>
    <col min="8978" max="8978" width="12" style="301" customWidth="1"/>
    <col min="8979" max="8979" width="10.28515625" style="301" customWidth="1"/>
    <col min="8980" max="8980" width="2.28515625" style="301" customWidth="1"/>
    <col min="8981" max="8981" width="2" style="301" customWidth="1"/>
    <col min="8982" max="8982" width="13.5703125" style="301" customWidth="1"/>
    <col min="8983" max="8983" width="12" style="301" customWidth="1"/>
    <col min="8984" max="8984" width="8.85546875" style="301" customWidth="1"/>
    <col min="8985" max="9225" width="9.140625" style="301"/>
    <col min="9226" max="9226" width="53.7109375" style="301" customWidth="1"/>
    <col min="9227" max="9227" width="13.5703125" style="301" customWidth="1"/>
    <col min="9228" max="9228" width="12" style="301" customWidth="1"/>
    <col min="9229" max="9229" width="10.140625" style="301" customWidth="1"/>
    <col min="9230" max="9230" width="13.5703125" style="301" customWidth="1"/>
    <col min="9231" max="9231" width="12" style="301" customWidth="1"/>
    <col min="9232" max="9232" width="9.7109375" style="301" customWidth="1"/>
    <col min="9233" max="9233" width="13.5703125" style="301" customWidth="1"/>
    <col min="9234" max="9234" width="12" style="301" customWidth="1"/>
    <col min="9235" max="9235" width="10.28515625" style="301" customWidth="1"/>
    <col min="9236" max="9236" width="2.28515625" style="301" customWidth="1"/>
    <col min="9237" max="9237" width="2" style="301" customWidth="1"/>
    <col min="9238" max="9238" width="13.5703125" style="301" customWidth="1"/>
    <col min="9239" max="9239" width="12" style="301" customWidth="1"/>
    <col min="9240" max="9240" width="8.85546875" style="301" customWidth="1"/>
    <col min="9241" max="9481" width="9.140625" style="301"/>
    <col min="9482" max="9482" width="53.7109375" style="301" customWidth="1"/>
    <col min="9483" max="9483" width="13.5703125" style="301" customWidth="1"/>
    <col min="9484" max="9484" width="12" style="301" customWidth="1"/>
    <col min="9485" max="9485" width="10.140625" style="301" customWidth="1"/>
    <col min="9486" max="9486" width="13.5703125" style="301" customWidth="1"/>
    <col min="9487" max="9487" width="12" style="301" customWidth="1"/>
    <col min="9488" max="9488" width="9.7109375" style="301" customWidth="1"/>
    <col min="9489" max="9489" width="13.5703125" style="301" customWidth="1"/>
    <col min="9490" max="9490" width="12" style="301" customWidth="1"/>
    <col min="9491" max="9491" width="10.28515625" style="301" customWidth="1"/>
    <col min="9492" max="9492" width="2.28515625" style="301" customWidth="1"/>
    <col min="9493" max="9493" width="2" style="301" customWidth="1"/>
    <col min="9494" max="9494" width="13.5703125" style="301" customWidth="1"/>
    <col min="9495" max="9495" width="12" style="301" customWidth="1"/>
    <col min="9496" max="9496" width="8.85546875" style="301" customWidth="1"/>
    <col min="9497" max="9737" width="9.140625" style="301"/>
    <col min="9738" max="9738" width="53.7109375" style="301" customWidth="1"/>
    <col min="9739" max="9739" width="13.5703125" style="301" customWidth="1"/>
    <col min="9740" max="9740" width="12" style="301" customWidth="1"/>
    <col min="9741" max="9741" width="10.140625" style="301" customWidth="1"/>
    <col min="9742" max="9742" width="13.5703125" style="301" customWidth="1"/>
    <col min="9743" max="9743" width="12" style="301" customWidth="1"/>
    <col min="9744" max="9744" width="9.7109375" style="301" customWidth="1"/>
    <col min="9745" max="9745" width="13.5703125" style="301" customWidth="1"/>
    <col min="9746" max="9746" width="12" style="301" customWidth="1"/>
    <col min="9747" max="9747" width="10.28515625" style="301" customWidth="1"/>
    <col min="9748" max="9748" width="2.28515625" style="301" customWidth="1"/>
    <col min="9749" max="9749" width="2" style="301" customWidth="1"/>
    <col min="9750" max="9750" width="13.5703125" style="301" customWidth="1"/>
    <col min="9751" max="9751" width="12" style="301" customWidth="1"/>
    <col min="9752" max="9752" width="8.85546875" style="301" customWidth="1"/>
    <col min="9753" max="9993" width="9.140625" style="301"/>
    <col min="9994" max="9994" width="53.7109375" style="301" customWidth="1"/>
    <col min="9995" max="9995" width="13.5703125" style="301" customWidth="1"/>
    <col min="9996" max="9996" width="12" style="301" customWidth="1"/>
    <col min="9997" max="9997" width="10.140625" style="301" customWidth="1"/>
    <col min="9998" max="9998" width="13.5703125" style="301" customWidth="1"/>
    <col min="9999" max="9999" width="12" style="301" customWidth="1"/>
    <col min="10000" max="10000" width="9.7109375" style="301" customWidth="1"/>
    <col min="10001" max="10001" width="13.5703125" style="301" customWidth="1"/>
    <col min="10002" max="10002" width="12" style="301" customWidth="1"/>
    <col min="10003" max="10003" width="10.28515625" style="301" customWidth="1"/>
    <col min="10004" max="10004" width="2.28515625" style="301" customWidth="1"/>
    <col min="10005" max="10005" width="2" style="301" customWidth="1"/>
    <col min="10006" max="10006" width="13.5703125" style="301" customWidth="1"/>
    <col min="10007" max="10007" width="12" style="301" customWidth="1"/>
    <col min="10008" max="10008" width="8.85546875" style="301" customWidth="1"/>
    <col min="10009" max="10249" width="9.140625" style="301"/>
    <col min="10250" max="10250" width="53.7109375" style="301" customWidth="1"/>
    <col min="10251" max="10251" width="13.5703125" style="301" customWidth="1"/>
    <col min="10252" max="10252" width="12" style="301" customWidth="1"/>
    <col min="10253" max="10253" width="10.140625" style="301" customWidth="1"/>
    <col min="10254" max="10254" width="13.5703125" style="301" customWidth="1"/>
    <col min="10255" max="10255" width="12" style="301" customWidth="1"/>
    <col min="10256" max="10256" width="9.7109375" style="301" customWidth="1"/>
    <col min="10257" max="10257" width="13.5703125" style="301" customWidth="1"/>
    <col min="10258" max="10258" width="12" style="301" customWidth="1"/>
    <col min="10259" max="10259" width="10.28515625" style="301" customWidth="1"/>
    <col min="10260" max="10260" width="2.28515625" style="301" customWidth="1"/>
    <col min="10261" max="10261" width="2" style="301" customWidth="1"/>
    <col min="10262" max="10262" width="13.5703125" style="301" customWidth="1"/>
    <col min="10263" max="10263" width="12" style="301" customWidth="1"/>
    <col min="10264" max="10264" width="8.85546875" style="301" customWidth="1"/>
    <col min="10265" max="10505" width="9.140625" style="301"/>
    <col min="10506" max="10506" width="53.7109375" style="301" customWidth="1"/>
    <col min="10507" max="10507" width="13.5703125" style="301" customWidth="1"/>
    <col min="10508" max="10508" width="12" style="301" customWidth="1"/>
    <col min="10509" max="10509" width="10.140625" style="301" customWidth="1"/>
    <col min="10510" max="10510" width="13.5703125" style="301" customWidth="1"/>
    <col min="10511" max="10511" width="12" style="301" customWidth="1"/>
    <col min="10512" max="10512" width="9.7109375" style="301" customWidth="1"/>
    <col min="10513" max="10513" width="13.5703125" style="301" customWidth="1"/>
    <col min="10514" max="10514" width="12" style="301" customWidth="1"/>
    <col min="10515" max="10515" width="10.28515625" style="301" customWidth="1"/>
    <col min="10516" max="10516" width="2.28515625" style="301" customWidth="1"/>
    <col min="10517" max="10517" width="2" style="301" customWidth="1"/>
    <col min="10518" max="10518" width="13.5703125" style="301" customWidth="1"/>
    <col min="10519" max="10519" width="12" style="301" customWidth="1"/>
    <col min="10520" max="10520" width="8.85546875" style="301" customWidth="1"/>
    <col min="10521" max="10761" width="9.140625" style="301"/>
    <col min="10762" max="10762" width="53.7109375" style="301" customWidth="1"/>
    <col min="10763" max="10763" width="13.5703125" style="301" customWidth="1"/>
    <col min="10764" max="10764" width="12" style="301" customWidth="1"/>
    <col min="10765" max="10765" width="10.140625" style="301" customWidth="1"/>
    <col min="10766" max="10766" width="13.5703125" style="301" customWidth="1"/>
    <col min="10767" max="10767" width="12" style="301" customWidth="1"/>
    <col min="10768" max="10768" width="9.7109375" style="301" customWidth="1"/>
    <col min="10769" max="10769" width="13.5703125" style="301" customWidth="1"/>
    <col min="10770" max="10770" width="12" style="301" customWidth="1"/>
    <col min="10771" max="10771" width="10.28515625" style="301" customWidth="1"/>
    <col min="10772" max="10772" width="2.28515625" style="301" customWidth="1"/>
    <col min="10773" max="10773" width="2" style="301" customWidth="1"/>
    <col min="10774" max="10774" width="13.5703125" style="301" customWidth="1"/>
    <col min="10775" max="10775" width="12" style="301" customWidth="1"/>
    <col min="10776" max="10776" width="8.85546875" style="301" customWidth="1"/>
    <col min="10777" max="11017" width="9.140625" style="301"/>
    <col min="11018" max="11018" width="53.7109375" style="301" customWidth="1"/>
    <col min="11019" max="11019" width="13.5703125" style="301" customWidth="1"/>
    <col min="11020" max="11020" width="12" style="301" customWidth="1"/>
    <col min="11021" max="11021" width="10.140625" style="301" customWidth="1"/>
    <col min="11022" max="11022" width="13.5703125" style="301" customWidth="1"/>
    <col min="11023" max="11023" width="12" style="301" customWidth="1"/>
    <col min="11024" max="11024" width="9.7109375" style="301" customWidth="1"/>
    <col min="11025" max="11025" width="13.5703125" style="301" customWidth="1"/>
    <col min="11026" max="11026" width="12" style="301" customWidth="1"/>
    <col min="11027" max="11027" width="10.28515625" style="301" customWidth="1"/>
    <col min="11028" max="11028" width="2.28515625" style="301" customWidth="1"/>
    <col min="11029" max="11029" width="2" style="301" customWidth="1"/>
    <col min="11030" max="11030" width="13.5703125" style="301" customWidth="1"/>
    <col min="11031" max="11031" width="12" style="301" customWidth="1"/>
    <col min="11032" max="11032" width="8.85546875" style="301" customWidth="1"/>
    <col min="11033" max="11273" width="9.140625" style="301"/>
    <col min="11274" max="11274" width="53.7109375" style="301" customWidth="1"/>
    <col min="11275" max="11275" width="13.5703125" style="301" customWidth="1"/>
    <col min="11276" max="11276" width="12" style="301" customWidth="1"/>
    <col min="11277" max="11277" width="10.140625" style="301" customWidth="1"/>
    <col min="11278" max="11278" width="13.5703125" style="301" customWidth="1"/>
    <col min="11279" max="11279" width="12" style="301" customWidth="1"/>
    <col min="11280" max="11280" width="9.7109375" style="301" customWidth="1"/>
    <col min="11281" max="11281" width="13.5703125" style="301" customWidth="1"/>
    <col min="11282" max="11282" width="12" style="301" customWidth="1"/>
    <col min="11283" max="11283" width="10.28515625" style="301" customWidth="1"/>
    <col min="11284" max="11284" width="2.28515625" style="301" customWidth="1"/>
    <col min="11285" max="11285" width="2" style="301" customWidth="1"/>
    <col min="11286" max="11286" width="13.5703125" style="301" customWidth="1"/>
    <col min="11287" max="11287" width="12" style="301" customWidth="1"/>
    <col min="11288" max="11288" width="8.85546875" style="301" customWidth="1"/>
    <col min="11289" max="11529" width="9.140625" style="301"/>
    <col min="11530" max="11530" width="53.7109375" style="301" customWidth="1"/>
    <col min="11531" max="11531" width="13.5703125" style="301" customWidth="1"/>
    <col min="11532" max="11532" width="12" style="301" customWidth="1"/>
    <col min="11533" max="11533" width="10.140625" style="301" customWidth="1"/>
    <col min="11534" max="11534" width="13.5703125" style="301" customWidth="1"/>
    <col min="11535" max="11535" width="12" style="301" customWidth="1"/>
    <col min="11536" max="11536" width="9.7109375" style="301" customWidth="1"/>
    <col min="11537" max="11537" width="13.5703125" style="301" customWidth="1"/>
    <col min="11538" max="11538" width="12" style="301" customWidth="1"/>
    <col min="11539" max="11539" width="10.28515625" style="301" customWidth="1"/>
    <col min="11540" max="11540" width="2.28515625" style="301" customWidth="1"/>
    <col min="11541" max="11541" width="2" style="301" customWidth="1"/>
    <col min="11542" max="11542" width="13.5703125" style="301" customWidth="1"/>
    <col min="11543" max="11543" width="12" style="301" customWidth="1"/>
    <col min="11544" max="11544" width="8.85546875" style="301" customWidth="1"/>
    <col min="11545" max="11785" width="9.140625" style="301"/>
    <col min="11786" max="11786" width="53.7109375" style="301" customWidth="1"/>
    <col min="11787" max="11787" width="13.5703125" style="301" customWidth="1"/>
    <col min="11788" max="11788" width="12" style="301" customWidth="1"/>
    <col min="11789" max="11789" width="10.140625" style="301" customWidth="1"/>
    <col min="11790" max="11790" width="13.5703125" style="301" customWidth="1"/>
    <col min="11791" max="11791" width="12" style="301" customWidth="1"/>
    <col min="11792" max="11792" width="9.7109375" style="301" customWidth="1"/>
    <col min="11793" max="11793" width="13.5703125" style="301" customWidth="1"/>
    <col min="11794" max="11794" width="12" style="301" customWidth="1"/>
    <col min="11795" max="11795" width="10.28515625" style="301" customWidth="1"/>
    <col min="11796" max="11796" width="2.28515625" style="301" customWidth="1"/>
    <col min="11797" max="11797" width="2" style="301" customWidth="1"/>
    <col min="11798" max="11798" width="13.5703125" style="301" customWidth="1"/>
    <col min="11799" max="11799" width="12" style="301" customWidth="1"/>
    <col min="11800" max="11800" width="8.85546875" style="301" customWidth="1"/>
    <col min="11801" max="12041" width="9.140625" style="301"/>
    <col min="12042" max="12042" width="53.7109375" style="301" customWidth="1"/>
    <col min="12043" max="12043" width="13.5703125" style="301" customWidth="1"/>
    <col min="12044" max="12044" width="12" style="301" customWidth="1"/>
    <col min="12045" max="12045" width="10.140625" style="301" customWidth="1"/>
    <col min="12046" max="12046" width="13.5703125" style="301" customWidth="1"/>
    <col min="12047" max="12047" width="12" style="301" customWidth="1"/>
    <col min="12048" max="12048" width="9.7109375" style="301" customWidth="1"/>
    <col min="12049" max="12049" width="13.5703125" style="301" customWidth="1"/>
    <col min="12050" max="12050" width="12" style="301" customWidth="1"/>
    <col min="12051" max="12051" width="10.28515625" style="301" customWidth="1"/>
    <col min="12052" max="12052" width="2.28515625" style="301" customWidth="1"/>
    <col min="12053" max="12053" width="2" style="301" customWidth="1"/>
    <col min="12054" max="12054" width="13.5703125" style="301" customWidth="1"/>
    <col min="12055" max="12055" width="12" style="301" customWidth="1"/>
    <col min="12056" max="12056" width="8.85546875" style="301" customWidth="1"/>
    <col min="12057" max="12297" width="9.140625" style="301"/>
    <col min="12298" max="12298" width="53.7109375" style="301" customWidth="1"/>
    <col min="12299" max="12299" width="13.5703125" style="301" customWidth="1"/>
    <col min="12300" max="12300" width="12" style="301" customWidth="1"/>
    <col min="12301" max="12301" width="10.140625" style="301" customWidth="1"/>
    <col min="12302" max="12302" width="13.5703125" style="301" customWidth="1"/>
    <col min="12303" max="12303" width="12" style="301" customWidth="1"/>
    <col min="12304" max="12304" width="9.7109375" style="301" customWidth="1"/>
    <col min="12305" max="12305" width="13.5703125" style="301" customWidth="1"/>
    <col min="12306" max="12306" width="12" style="301" customWidth="1"/>
    <col min="12307" max="12307" width="10.28515625" style="301" customWidth="1"/>
    <col min="12308" max="12308" width="2.28515625" style="301" customWidth="1"/>
    <col min="12309" max="12309" width="2" style="301" customWidth="1"/>
    <col min="12310" max="12310" width="13.5703125" style="301" customWidth="1"/>
    <col min="12311" max="12311" width="12" style="301" customWidth="1"/>
    <col min="12312" max="12312" width="8.85546875" style="301" customWidth="1"/>
    <col min="12313" max="12553" width="9.140625" style="301"/>
    <col min="12554" max="12554" width="53.7109375" style="301" customWidth="1"/>
    <col min="12555" max="12555" width="13.5703125" style="301" customWidth="1"/>
    <col min="12556" max="12556" width="12" style="301" customWidth="1"/>
    <col min="12557" max="12557" width="10.140625" style="301" customWidth="1"/>
    <col min="12558" max="12558" width="13.5703125" style="301" customWidth="1"/>
    <col min="12559" max="12559" width="12" style="301" customWidth="1"/>
    <col min="12560" max="12560" width="9.7109375" style="301" customWidth="1"/>
    <col min="12561" max="12561" width="13.5703125" style="301" customWidth="1"/>
    <col min="12562" max="12562" width="12" style="301" customWidth="1"/>
    <col min="12563" max="12563" width="10.28515625" style="301" customWidth="1"/>
    <col min="12564" max="12564" width="2.28515625" style="301" customWidth="1"/>
    <col min="12565" max="12565" width="2" style="301" customWidth="1"/>
    <col min="12566" max="12566" width="13.5703125" style="301" customWidth="1"/>
    <col min="12567" max="12567" width="12" style="301" customWidth="1"/>
    <col min="12568" max="12568" width="8.85546875" style="301" customWidth="1"/>
    <col min="12569" max="12809" width="9.140625" style="301"/>
    <col min="12810" max="12810" width="53.7109375" style="301" customWidth="1"/>
    <col min="12811" max="12811" width="13.5703125" style="301" customWidth="1"/>
    <col min="12812" max="12812" width="12" style="301" customWidth="1"/>
    <col min="12813" max="12813" width="10.140625" style="301" customWidth="1"/>
    <col min="12814" max="12814" width="13.5703125" style="301" customWidth="1"/>
    <col min="12815" max="12815" width="12" style="301" customWidth="1"/>
    <col min="12816" max="12816" width="9.7109375" style="301" customWidth="1"/>
    <col min="12817" max="12817" width="13.5703125" style="301" customWidth="1"/>
    <col min="12818" max="12818" width="12" style="301" customWidth="1"/>
    <col min="12819" max="12819" width="10.28515625" style="301" customWidth="1"/>
    <col min="12820" max="12820" width="2.28515625" style="301" customWidth="1"/>
    <col min="12821" max="12821" width="2" style="301" customWidth="1"/>
    <col min="12822" max="12822" width="13.5703125" style="301" customWidth="1"/>
    <col min="12823" max="12823" width="12" style="301" customWidth="1"/>
    <col min="12824" max="12824" width="8.85546875" style="301" customWidth="1"/>
    <col min="12825" max="13065" width="9.140625" style="301"/>
    <col min="13066" max="13066" width="53.7109375" style="301" customWidth="1"/>
    <col min="13067" max="13067" width="13.5703125" style="301" customWidth="1"/>
    <col min="13068" max="13068" width="12" style="301" customWidth="1"/>
    <col min="13069" max="13069" width="10.140625" style="301" customWidth="1"/>
    <col min="13070" max="13070" width="13.5703125" style="301" customWidth="1"/>
    <col min="13071" max="13071" width="12" style="301" customWidth="1"/>
    <col min="13072" max="13072" width="9.7109375" style="301" customWidth="1"/>
    <col min="13073" max="13073" width="13.5703125" style="301" customWidth="1"/>
    <col min="13074" max="13074" width="12" style="301" customWidth="1"/>
    <col min="13075" max="13075" width="10.28515625" style="301" customWidth="1"/>
    <col min="13076" max="13076" width="2.28515625" style="301" customWidth="1"/>
    <col min="13077" max="13077" width="2" style="301" customWidth="1"/>
    <col min="13078" max="13078" width="13.5703125" style="301" customWidth="1"/>
    <col min="13079" max="13079" width="12" style="301" customWidth="1"/>
    <col min="13080" max="13080" width="8.85546875" style="301" customWidth="1"/>
    <col min="13081" max="13321" width="9.140625" style="301"/>
    <col min="13322" max="13322" width="53.7109375" style="301" customWidth="1"/>
    <col min="13323" max="13323" width="13.5703125" style="301" customWidth="1"/>
    <col min="13324" max="13324" width="12" style="301" customWidth="1"/>
    <col min="13325" max="13325" width="10.140625" style="301" customWidth="1"/>
    <col min="13326" max="13326" width="13.5703125" style="301" customWidth="1"/>
    <col min="13327" max="13327" width="12" style="301" customWidth="1"/>
    <col min="13328" max="13328" width="9.7109375" style="301" customWidth="1"/>
    <col min="13329" max="13329" width="13.5703125" style="301" customWidth="1"/>
    <col min="13330" max="13330" width="12" style="301" customWidth="1"/>
    <col min="13331" max="13331" width="10.28515625" style="301" customWidth="1"/>
    <col min="13332" max="13332" width="2.28515625" style="301" customWidth="1"/>
    <col min="13333" max="13333" width="2" style="301" customWidth="1"/>
    <col min="13334" max="13334" width="13.5703125" style="301" customWidth="1"/>
    <col min="13335" max="13335" width="12" style="301" customWidth="1"/>
    <col min="13336" max="13336" width="8.85546875" style="301" customWidth="1"/>
    <col min="13337" max="13577" width="9.140625" style="301"/>
    <col min="13578" max="13578" width="53.7109375" style="301" customWidth="1"/>
    <col min="13579" max="13579" width="13.5703125" style="301" customWidth="1"/>
    <col min="13580" max="13580" width="12" style="301" customWidth="1"/>
    <col min="13581" max="13581" width="10.140625" style="301" customWidth="1"/>
    <col min="13582" max="13582" width="13.5703125" style="301" customWidth="1"/>
    <col min="13583" max="13583" width="12" style="301" customWidth="1"/>
    <col min="13584" max="13584" width="9.7109375" style="301" customWidth="1"/>
    <col min="13585" max="13585" width="13.5703125" style="301" customWidth="1"/>
    <col min="13586" max="13586" width="12" style="301" customWidth="1"/>
    <col min="13587" max="13587" width="10.28515625" style="301" customWidth="1"/>
    <col min="13588" max="13588" width="2.28515625" style="301" customWidth="1"/>
    <col min="13589" max="13589" width="2" style="301" customWidth="1"/>
    <col min="13590" max="13590" width="13.5703125" style="301" customWidth="1"/>
    <col min="13591" max="13591" width="12" style="301" customWidth="1"/>
    <col min="13592" max="13592" width="8.85546875" style="301" customWidth="1"/>
    <col min="13593" max="13833" width="9.140625" style="301"/>
    <col min="13834" max="13834" width="53.7109375" style="301" customWidth="1"/>
    <col min="13835" max="13835" width="13.5703125" style="301" customWidth="1"/>
    <col min="13836" max="13836" width="12" style="301" customWidth="1"/>
    <col min="13837" max="13837" width="10.140625" style="301" customWidth="1"/>
    <col min="13838" max="13838" width="13.5703125" style="301" customWidth="1"/>
    <col min="13839" max="13839" width="12" style="301" customWidth="1"/>
    <col min="13840" max="13840" width="9.7109375" style="301" customWidth="1"/>
    <col min="13841" max="13841" width="13.5703125" style="301" customWidth="1"/>
    <col min="13842" max="13842" width="12" style="301" customWidth="1"/>
    <col min="13843" max="13843" width="10.28515625" style="301" customWidth="1"/>
    <col min="13844" max="13844" width="2.28515625" style="301" customWidth="1"/>
    <col min="13845" max="13845" width="2" style="301" customWidth="1"/>
    <col min="13846" max="13846" width="13.5703125" style="301" customWidth="1"/>
    <col min="13847" max="13847" width="12" style="301" customWidth="1"/>
    <col min="13848" max="13848" width="8.85546875" style="301" customWidth="1"/>
    <col min="13849" max="14089" width="9.140625" style="301"/>
    <col min="14090" max="14090" width="53.7109375" style="301" customWidth="1"/>
    <col min="14091" max="14091" width="13.5703125" style="301" customWidth="1"/>
    <col min="14092" max="14092" width="12" style="301" customWidth="1"/>
    <col min="14093" max="14093" width="10.140625" style="301" customWidth="1"/>
    <col min="14094" max="14094" width="13.5703125" style="301" customWidth="1"/>
    <col min="14095" max="14095" width="12" style="301" customWidth="1"/>
    <col min="14096" max="14096" width="9.7109375" style="301" customWidth="1"/>
    <col min="14097" max="14097" width="13.5703125" style="301" customWidth="1"/>
    <col min="14098" max="14098" width="12" style="301" customWidth="1"/>
    <col min="14099" max="14099" width="10.28515625" style="301" customWidth="1"/>
    <col min="14100" max="14100" width="2.28515625" style="301" customWidth="1"/>
    <col min="14101" max="14101" width="2" style="301" customWidth="1"/>
    <col min="14102" max="14102" width="13.5703125" style="301" customWidth="1"/>
    <col min="14103" max="14103" width="12" style="301" customWidth="1"/>
    <col min="14104" max="14104" width="8.85546875" style="301" customWidth="1"/>
    <col min="14105" max="14345" width="9.140625" style="301"/>
    <col min="14346" max="14346" width="53.7109375" style="301" customWidth="1"/>
    <col min="14347" max="14347" width="13.5703125" style="301" customWidth="1"/>
    <col min="14348" max="14348" width="12" style="301" customWidth="1"/>
    <col min="14349" max="14349" width="10.140625" style="301" customWidth="1"/>
    <col min="14350" max="14350" width="13.5703125" style="301" customWidth="1"/>
    <col min="14351" max="14351" width="12" style="301" customWidth="1"/>
    <col min="14352" max="14352" width="9.7109375" style="301" customWidth="1"/>
    <col min="14353" max="14353" width="13.5703125" style="301" customWidth="1"/>
    <col min="14354" max="14354" width="12" style="301" customWidth="1"/>
    <col min="14355" max="14355" width="10.28515625" style="301" customWidth="1"/>
    <col min="14356" max="14356" width="2.28515625" style="301" customWidth="1"/>
    <col min="14357" max="14357" width="2" style="301" customWidth="1"/>
    <col min="14358" max="14358" width="13.5703125" style="301" customWidth="1"/>
    <col min="14359" max="14359" width="12" style="301" customWidth="1"/>
    <col min="14360" max="14360" width="8.85546875" style="301" customWidth="1"/>
    <col min="14361" max="14601" width="9.140625" style="301"/>
    <col min="14602" max="14602" width="53.7109375" style="301" customWidth="1"/>
    <col min="14603" max="14603" width="13.5703125" style="301" customWidth="1"/>
    <col min="14604" max="14604" width="12" style="301" customWidth="1"/>
    <col min="14605" max="14605" width="10.140625" style="301" customWidth="1"/>
    <col min="14606" max="14606" width="13.5703125" style="301" customWidth="1"/>
    <col min="14607" max="14607" width="12" style="301" customWidth="1"/>
    <col min="14608" max="14608" width="9.7109375" style="301" customWidth="1"/>
    <col min="14609" max="14609" width="13.5703125" style="301" customWidth="1"/>
    <col min="14610" max="14610" width="12" style="301" customWidth="1"/>
    <col min="14611" max="14611" width="10.28515625" style="301" customWidth="1"/>
    <col min="14612" max="14612" width="2.28515625" style="301" customWidth="1"/>
    <col min="14613" max="14613" width="2" style="301" customWidth="1"/>
    <col min="14614" max="14614" width="13.5703125" style="301" customWidth="1"/>
    <col min="14615" max="14615" width="12" style="301" customWidth="1"/>
    <col min="14616" max="14616" width="8.85546875" style="301" customWidth="1"/>
    <col min="14617" max="14857" width="9.140625" style="301"/>
    <col min="14858" max="14858" width="53.7109375" style="301" customWidth="1"/>
    <col min="14859" max="14859" width="13.5703125" style="301" customWidth="1"/>
    <col min="14860" max="14860" width="12" style="301" customWidth="1"/>
    <col min="14861" max="14861" width="10.140625" style="301" customWidth="1"/>
    <col min="14862" max="14862" width="13.5703125" style="301" customWidth="1"/>
    <col min="14863" max="14863" width="12" style="301" customWidth="1"/>
    <col min="14864" max="14864" width="9.7109375" style="301" customWidth="1"/>
    <col min="14865" max="14865" width="13.5703125" style="301" customWidth="1"/>
    <col min="14866" max="14866" width="12" style="301" customWidth="1"/>
    <col min="14867" max="14867" width="10.28515625" style="301" customWidth="1"/>
    <col min="14868" max="14868" width="2.28515625" style="301" customWidth="1"/>
    <col min="14869" max="14869" width="2" style="301" customWidth="1"/>
    <col min="14870" max="14870" width="13.5703125" style="301" customWidth="1"/>
    <col min="14871" max="14871" width="12" style="301" customWidth="1"/>
    <col min="14872" max="14872" width="8.85546875" style="301" customWidth="1"/>
    <col min="14873" max="15113" width="9.140625" style="301"/>
    <col min="15114" max="15114" width="53.7109375" style="301" customWidth="1"/>
    <col min="15115" max="15115" width="13.5703125" style="301" customWidth="1"/>
    <col min="15116" max="15116" width="12" style="301" customWidth="1"/>
    <col min="15117" max="15117" width="10.140625" style="301" customWidth="1"/>
    <col min="15118" max="15118" width="13.5703125" style="301" customWidth="1"/>
    <col min="15119" max="15119" width="12" style="301" customWidth="1"/>
    <col min="15120" max="15120" width="9.7109375" style="301" customWidth="1"/>
    <col min="15121" max="15121" width="13.5703125" style="301" customWidth="1"/>
    <col min="15122" max="15122" width="12" style="301" customWidth="1"/>
    <col min="15123" max="15123" width="10.28515625" style="301" customWidth="1"/>
    <col min="15124" max="15124" width="2.28515625" style="301" customWidth="1"/>
    <col min="15125" max="15125" width="2" style="301" customWidth="1"/>
    <col min="15126" max="15126" width="13.5703125" style="301" customWidth="1"/>
    <col min="15127" max="15127" width="12" style="301" customWidth="1"/>
    <col min="15128" max="15128" width="8.85546875" style="301" customWidth="1"/>
    <col min="15129" max="15369" width="9.140625" style="301"/>
    <col min="15370" max="15370" width="53.7109375" style="301" customWidth="1"/>
    <col min="15371" max="15371" width="13.5703125" style="301" customWidth="1"/>
    <col min="15372" max="15372" width="12" style="301" customWidth="1"/>
    <col min="15373" max="15373" width="10.140625" style="301" customWidth="1"/>
    <col min="15374" max="15374" width="13.5703125" style="301" customWidth="1"/>
    <col min="15375" max="15375" width="12" style="301" customWidth="1"/>
    <col min="15376" max="15376" width="9.7109375" style="301" customWidth="1"/>
    <col min="15377" max="15377" width="13.5703125" style="301" customWidth="1"/>
    <col min="15378" max="15378" width="12" style="301" customWidth="1"/>
    <col min="15379" max="15379" width="10.28515625" style="301" customWidth="1"/>
    <col min="15380" max="15380" width="2.28515625" style="301" customWidth="1"/>
    <col min="15381" max="15381" width="2" style="301" customWidth="1"/>
    <col min="15382" max="15382" width="13.5703125" style="301" customWidth="1"/>
    <col min="15383" max="15383" width="12" style="301" customWidth="1"/>
    <col min="15384" max="15384" width="8.85546875" style="301" customWidth="1"/>
    <col min="15385" max="15625" width="9.140625" style="301"/>
    <col min="15626" max="15626" width="53.7109375" style="301" customWidth="1"/>
    <col min="15627" max="15627" width="13.5703125" style="301" customWidth="1"/>
    <col min="15628" max="15628" width="12" style="301" customWidth="1"/>
    <col min="15629" max="15629" width="10.140625" style="301" customWidth="1"/>
    <col min="15630" max="15630" width="13.5703125" style="301" customWidth="1"/>
    <col min="15631" max="15631" width="12" style="301" customWidth="1"/>
    <col min="15632" max="15632" width="9.7109375" style="301" customWidth="1"/>
    <col min="15633" max="15633" width="13.5703125" style="301" customWidth="1"/>
    <col min="15634" max="15634" width="12" style="301" customWidth="1"/>
    <col min="15635" max="15635" width="10.28515625" style="301" customWidth="1"/>
    <col min="15636" max="15636" width="2.28515625" style="301" customWidth="1"/>
    <col min="15637" max="15637" width="2" style="301" customWidth="1"/>
    <col min="15638" max="15638" width="13.5703125" style="301" customWidth="1"/>
    <col min="15639" max="15639" width="12" style="301" customWidth="1"/>
    <col min="15640" max="15640" width="8.85546875" style="301" customWidth="1"/>
    <col min="15641" max="15881" width="9.140625" style="301"/>
    <col min="15882" max="15882" width="53.7109375" style="301" customWidth="1"/>
    <col min="15883" max="15883" width="13.5703125" style="301" customWidth="1"/>
    <col min="15884" max="15884" width="12" style="301" customWidth="1"/>
    <col min="15885" max="15885" width="10.140625" style="301" customWidth="1"/>
    <col min="15886" max="15886" width="13.5703125" style="301" customWidth="1"/>
    <col min="15887" max="15887" width="12" style="301" customWidth="1"/>
    <col min="15888" max="15888" width="9.7109375" style="301" customWidth="1"/>
    <col min="15889" max="15889" width="13.5703125" style="301" customWidth="1"/>
    <col min="15890" max="15890" width="12" style="301" customWidth="1"/>
    <col min="15891" max="15891" width="10.28515625" style="301" customWidth="1"/>
    <col min="15892" max="15892" width="2.28515625" style="301" customWidth="1"/>
    <col min="15893" max="15893" width="2" style="301" customWidth="1"/>
    <col min="15894" max="15894" width="13.5703125" style="301" customWidth="1"/>
    <col min="15895" max="15895" width="12" style="301" customWidth="1"/>
    <col min="15896" max="15896" width="8.85546875" style="301" customWidth="1"/>
    <col min="15897" max="16137" width="9.140625" style="301"/>
    <col min="16138" max="16138" width="53.7109375" style="301" customWidth="1"/>
    <col min="16139" max="16139" width="13.5703125" style="301" customWidth="1"/>
    <col min="16140" max="16140" width="12" style="301" customWidth="1"/>
    <col min="16141" max="16141" width="10.140625" style="301" customWidth="1"/>
    <col min="16142" max="16142" width="13.5703125" style="301" customWidth="1"/>
    <col min="16143" max="16143" width="12" style="301" customWidth="1"/>
    <col min="16144" max="16144" width="9.7109375" style="301" customWidth="1"/>
    <col min="16145" max="16145" width="13.5703125" style="301" customWidth="1"/>
    <col min="16146" max="16146" width="12" style="301" customWidth="1"/>
    <col min="16147" max="16147" width="10.28515625" style="301" customWidth="1"/>
    <col min="16148" max="16148" width="2.28515625" style="301" customWidth="1"/>
    <col min="16149" max="16149" width="2" style="301" customWidth="1"/>
    <col min="16150" max="16150" width="13.5703125" style="301" customWidth="1"/>
    <col min="16151" max="16151" width="12" style="301" customWidth="1"/>
    <col min="16152" max="16152" width="8.85546875" style="301" customWidth="1"/>
    <col min="16153" max="16384" width="9.140625" style="301"/>
  </cols>
  <sheetData>
    <row r="1" spans="1:25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299"/>
      <c r="V1" s="298"/>
      <c r="W1" s="300"/>
      <c r="X1" s="298"/>
    </row>
    <row r="2" spans="1:25">
      <c r="B2" s="301"/>
      <c r="C2" s="301"/>
      <c r="D2" s="301"/>
      <c r="E2" s="301"/>
      <c r="F2" s="301"/>
      <c r="G2" s="301"/>
      <c r="H2" s="301"/>
      <c r="I2" s="301"/>
      <c r="J2" s="301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299"/>
    </row>
    <row r="3" spans="1:25" ht="12.95" customHeight="1">
      <c r="B3" s="301"/>
      <c r="C3" s="301"/>
      <c r="D3" s="301"/>
      <c r="E3" s="301"/>
      <c r="F3" s="301"/>
      <c r="G3" s="301"/>
      <c r="H3" s="301"/>
      <c r="I3" s="301"/>
      <c r="J3" s="301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299"/>
    </row>
    <row r="4" spans="1:25">
      <c r="B4" s="301"/>
      <c r="C4" s="301"/>
      <c r="D4" s="301"/>
      <c r="E4" s="301"/>
      <c r="F4" s="301"/>
      <c r="G4" s="301"/>
      <c r="H4" s="301"/>
      <c r="I4" s="301"/>
      <c r="J4" s="301"/>
      <c r="K4" s="544"/>
      <c r="L4" s="544"/>
      <c r="M4" s="544"/>
      <c r="N4" s="544"/>
      <c r="O4" s="544"/>
      <c r="P4" s="544"/>
      <c r="Q4" s="544"/>
      <c r="R4" s="544"/>
      <c r="S4" s="544"/>
      <c r="T4" s="544"/>
    </row>
    <row r="5" spans="1:25">
      <c r="B5" s="288"/>
      <c r="C5" s="288"/>
      <c r="D5" s="288"/>
      <c r="E5" s="288"/>
      <c r="F5" s="288"/>
      <c r="G5" s="288"/>
      <c r="H5" s="288"/>
      <c r="I5" s="288"/>
      <c r="J5" s="288"/>
      <c r="K5" s="305"/>
      <c r="L5" s="305"/>
      <c r="M5" s="305"/>
      <c r="N5" s="305"/>
      <c r="O5" s="305"/>
      <c r="P5" s="305"/>
      <c r="Q5" s="305"/>
      <c r="R5" s="305"/>
      <c r="S5" s="305"/>
      <c r="T5" s="305"/>
    </row>
    <row r="6" spans="1:25">
      <c r="B6" s="288"/>
      <c r="C6" s="288"/>
      <c r="D6" s="288"/>
      <c r="E6" s="288"/>
      <c r="F6" s="288"/>
      <c r="G6" s="288"/>
      <c r="H6" s="288"/>
      <c r="I6" s="288"/>
      <c r="J6" s="288"/>
      <c r="K6" s="305"/>
      <c r="L6" s="305"/>
      <c r="M6" s="305"/>
      <c r="N6" s="305"/>
      <c r="O6" s="305"/>
      <c r="P6" s="305"/>
      <c r="Q6" s="305"/>
      <c r="R6" s="305"/>
      <c r="S6" s="305"/>
      <c r="T6" s="305"/>
    </row>
    <row r="7" spans="1:25" ht="15">
      <c r="A7" s="552" t="s">
        <v>230</v>
      </c>
      <c r="B7" s="552"/>
      <c r="C7" s="552"/>
      <c r="D7" s="552"/>
      <c r="E7" s="552"/>
      <c r="F7" s="552"/>
      <c r="G7" s="552"/>
      <c r="H7" s="552"/>
      <c r="I7" s="552"/>
      <c r="J7" s="552"/>
      <c r="K7" s="552"/>
      <c r="L7" s="552"/>
      <c r="M7" s="552"/>
      <c r="N7" s="552"/>
      <c r="O7" s="552"/>
      <c r="P7" s="552"/>
      <c r="Q7" s="552"/>
      <c r="R7" s="552"/>
      <c r="S7" s="552"/>
      <c r="T7" s="552"/>
      <c r="U7" s="552"/>
      <c r="V7" s="552"/>
      <c r="W7" s="552"/>
      <c r="X7" s="552"/>
    </row>
    <row r="8" spans="1:25" ht="15.75" customHeight="1">
      <c r="A8" s="552" t="s">
        <v>231</v>
      </c>
      <c r="B8" s="552"/>
      <c r="C8" s="552"/>
      <c r="D8" s="552"/>
      <c r="E8" s="552"/>
      <c r="F8" s="552"/>
      <c r="G8" s="552"/>
      <c r="H8" s="552"/>
      <c r="I8" s="552"/>
      <c r="J8" s="552"/>
      <c r="K8" s="552"/>
      <c r="L8" s="552"/>
      <c r="M8" s="552"/>
      <c r="N8" s="552"/>
      <c r="O8" s="552"/>
      <c r="P8" s="552"/>
      <c r="Q8" s="552"/>
      <c r="R8" s="552"/>
      <c r="S8" s="552"/>
      <c r="T8" s="552"/>
      <c r="U8" s="552"/>
      <c r="V8" s="552"/>
      <c r="W8" s="552"/>
      <c r="X8" s="552"/>
    </row>
    <row r="9" spans="1:25" ht="15.75">
      <c r="A9" s="306"/>
      <c r="B9" s="367"/>
      <c r="C9" s="367"/>
      <c r="D9" s="367"/>
      <c r="E9" s="367"/>
      <c r="F9" s="367"/>
      <c r="G9" s="367"/>
      <c r="H9" s="367"/>
      <c r="I9" s="367"/>
      <c r="J9" s="367"/>
      <c r="K9" s="307"/>
      <c r="L9" s="307"/>
      <c r="M9" s="285" t="s">
        <v>52</v>
      </c>
      <c r="N9" s="307"/>
      <c r="O9" s="307"/>
      <c r="P9" s="307"/>
      <c r="Q9" s="307"/>
      <c r="R9" s="307"/>
      <c r="S9" s="307"/>
      <c r="T9" s="307"/>
      <c r="U9" s="307"/>
      <c r="V9" s="306"/>
      <c r="W9" s="308">
        <f>227+6</f>
        <v>233</v>
      </c>
      <c r="X9" s="306"/>
    </row>
    <row r="10" spans="1:25" ht="18" customHeight="1">
      <c r="A10" s="545" t="s">
        <v>237</v>
      </c>
      <c r="B10" s="545"/>
      <c r="C10" s="545"/>
      <c r="D10" s="545"/>
      <c r="E10" s="545"/>
      <c r="F10" s="545"/>
      <c r="G10" s="545"/>
      <c r="H10" s="545"/>
      <c r="I10" s="545"/>
      <c r="J10" s="545"/>
      <c r="K10" s="545"/>
      <c r="L10" s="545"/>
      <c r="M10" s="545"/>
      <c r="N10" s="545"/>
      <c r="O10" s="545"/>
      <c r="P10" s="545"/>
      <c r="Q10" s="545"/>
      <c r="R10" s="545"/>
      <c r="S10" s="545"/>
      <c r="T10" s="545"/>
      <c r="U10" s="545"/>
      <c r="V10" s="545"/>
      <c r="W10" s="545"/>
      <c r="X10" s="545"/>
      <c r="Y10" s="545"/>
    </row>
    <row r="11" spans="1:25" s="309" customFormat="1">
      <c r="A11" s="284"/>
      <c r="B11" s="368"/>
      <c r="C11" s="368"/>
      <c r="D11" s="368"/>
      <c r="E11" s="368"/>
      <c r="F11" s="368"/>
      <c r="G11" s="368"/>
      <c r="H11" s="368"/>
      <c r="I11" s="368"/>
      <c r="J11" s="368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</row>
    <row r="12" spans="1:25" ht="14.85" customHeight="1">
      <c r="A12" s="546" t="s">
        <v>171</v>
      </c>
      <c r="B12" s="546"/>
      <c r="C12" s="546"/>
      <c r="D12" s="546"/>
      <c r="E12" s="546"/>
      <c r="F12" s="546"/>
      <c r="G12" s="546"/>
      <c r="H12" s="546"/>
      <c r="I12" s="546"/>
      <c r="J12" s="546"/>
      <c r="K12" s="546"/>
      <c r="L12" s="546"/>
      <c r="M12" s="546"/>
      <c r="N12" s="546"/>
      <c r="O12" s="546"/>
      <c r="P12" s="546"/>
      <c r="Q12" s="546"/>
      <c r="R12" s="546"/>
      <c r="S12" s="546"/>
      <c r="T12" s="310"/>
      <c r="U12" s="310"/>
      <c r="V12" s="311"/>
      <c r="W12" s="311"/>
      <c r="X12" s="311"/>
    </row>
    <row r="13" spans="1:25" ht="14.85" customHeight="1">
      <c r="A13" s="547" t="s">
        <v>171</v>
      </c>
      <c r="B13" s="554" t="s">
        <v>233</v>
      </c>
      <c r="C13" s="554"/>
      <c r="D13" s="554"/>
      <c r="E13" s="554" t="s">
        <v>234</v>
      </c>
      <c r="F13" s="554"/>
      <c r="G13" s="554"/>
      <c r="H13" s="554" t="s">
        <v>235</v>
      </c>
      <c r="I13" s="554"/>
      <c r="J13" s="554"/>
      <c r="K13" s="548" t="s">
        <v>227</v>
      </c>
      <c r="L13" s="548"/>
      <c r="M13" s="548"/>
      <c r="N13" s="549" t="s">
        <v>228</v>
      </c>
      <c r="O13" s="550"/>
      <c r="P13" s="551"/>
      <c r="Q13" s="548" t="s">
        <v>229</v>
      </c>
      <c r="R13" s="548"/>
      <c r="S13" s="548"/>
      <c r="T13" s="307"/>
      <c r="U13" s="307"/>
      <c r="V13" s="548" t="s">
        <v>217</v>
      </c>
      <c r="W13" s="548"/>
      <c r="X13" s="548"/>
    </row>
    <row r="14" spans="1:25" s="303" customFormat="1">
      <c r="A14" s="547"/>
      <c r="B14" s="369" t="s">
        <v>145</v>
      </c>
      <c r="C14" s="370" t="s">
        <v>146</v>
      </c>
      <c r="D14" s="371" t="s">
        <v>135</v>
      </c>
      <c r="E14" s="369" t="s">
        <v>145</v>
      </c>
      <c r="F14" s="370" t="s">
        <v>146</v>
      </c>
      <c r="G14" s="371" t="s">
        <v>135</v>
      </c>
      <c r="H14" s="369" t="s">
        <v>145</v>
      </c>
      <c r="I14" s="370" t="s">
        <v>146</v>
      </c>
      <c r="J14" s="371" t="s">
        <v>135</v>
      </c>
      <c r="K14" s="312" t="s">
        <v>145</v>
      </c>
      <c r="L14" s="313" t="s">
        <v>146</v>
      </c>
      <c r="M14" s="314" t="s">
        <v>135</v>
      </c>
      <c r="N14" s="312" t="s">
        <v>145</v>
      </c>
      <c r="O14" s="313" t="s">
        <v>146</v>
      </c>
      <c r="P14" s="314" t="s">
        <v>135</v>
      </c>
      <c r="Q14" s="312" t="s">
        <v>145</v>
      </c>
      <c r="R14" s="313" t="s">
        <v>146</v>
      </c>
      <c r="S14" s="314" t="s">
        <v>135</v>
      </c>
      <c r="T14" s="315"/>
      <c r="U14" s="315"/>
      <c r="V14" s="312" t="s">
        <v>145</v>
      </c>
      <c r="W14" s="313" t="s">
        <v>146</v>
      </c>
      <c r="X14" s="314" t="s">
        <v>135</v>
      </c>
    </row>
    <row r="15" spans="1:25">
      <c r="A15" s="316" t="s">
        <v>147</v>
      </c>
      <c r="B15" s="372">
        <f>(220/31)*19</f>
        <v>134.83870967741936</v>
      </c>
      <c r="C15" s="373">
        <f>51+6</f>
        <v>57</v>
      </c>
      <c r="D15" s="278">
        <f t="shared" ref="D15:D20" si="0">C15/B15</f>
        <v>0.42272727272727273</v>
      </c>
      <c r="E15" s="372">
        <v>220</v>
      </c>
      <c r="F15" s="373">
        <f>186+19</f>
        <v>205</v>
      </c>
      <c r="G15" s="278">
        <f>F15/E15</f>
        <v>0.93181818181818177</v>
      </c>
      <c r="H15" s="372">
        <v>220</v>
      </c>
      <c r="I15" s="373">
        <f>214+20</f>
        <v>234</v>
      </c>
      <c r="J15" s="278">
        <f t="shared" ref="J15:J20" si="1">I15/H15</f>
        <v>1.0636363636363637</v>
      </c>
      <c r="K15" s="317">
        <v>220</v>
      </c>
      <c r="L15" s="292">
        <v>293</v>
      </c>
      <c r="M15" s="318">
        <f t="shared" ref="M15:M20" si="2">L15/K15</f>
        <v>1.3318181818181818</v>
      </c>
      <c r="N15" s="317">
        <v>220</v>
      </c>
      <c r="O15" s="292">
        <v>346</v>
      </c>
      <c r="P15" s="318">
        <f>O15/N15</f>
        <v>1.5727272727272728</v>
      </c>
      <c r="Q15" s="317">
        <v>220</v>
      </c>
      <c r="R15" s="295">
        <v>356</v>
      </c>
      <c r="S15" s="318">
        <f t="shared" ref="S15:S20" si="3">R15/Q15</f>
        <v>1.6181818181818182</v>
      </c>
      <c r="T15" s="319"/>
      <c r="U15" s="319"/>
      <c r="V15" s="317">
        <f>B15+E15+H15+K15+N15+Q15</f>
        <v>1234.8387096774195</v>
      </c>
      <c r="W15" s="292">
        <f>C15+F15+I15+L15+O15+R15</f>
        <v>1491</v>
      </c>
      <c r="X15" s="318">
        <f t="shared" ref="X15:X20" si="4">W15/V15</f>
        <v>1.2074451410658307</v>
      </c>
    </row>
    <row r="16" spans="1:25">
      <c r="A16" s="316" t="s">
        <v>148</v>
      </c>
      <c r="B16" s="372">
        <f>(520/31)*19</f>
        <v>318.70967741935482</v>
      </c>
      <c r="C16" s="373">
        <f>23+167</f>
        <v>190</v>
      </c>
      <c r="D16" s="278">
        <f t="shared" si="0"/>
        <v>0.59615384615384615</v>
      </c>
      <c r="E16" s="372">
        <v>520</v>
      </c>
      <c r="F16" s="373">
        <f>478+14</f>
        <v>492</v>
      </c>
      <c r="G16" s="278">
        <f>IF(E16=0,0,(F16/E16))</f>
        <v>0.94615384615384612</v>
      </c>
      <c r="H16" s="372">
        <v>520</v>
      </c>
      <c r="I16" s="373">
        <v>494</v>
      </c>
      <c r="J16" s="278">
        <f t="shared" si="1"/>
        <v>0.95</v>
      </c>
      <c r="K16" s="317">
        <v>520</v>
      </c>
      <c r="L16" s="292">
        <v>529</v>
      </c>
      <c r="M16" s="318">
        <f t="shared" si="2"/>
        <v>1.0173076923076922</v>
      </c>
      <c r="N16" s="317">
        <v>520</v>
      </c>
      <c r="O16" s="292">
        <v>556</v>
      </c>
      <c r="P16" s="318">
        <f>IF(N16=0,0,(O16/N16))</f>
        <v>1.0692307692307692</v>
      </c>
      <c r="Q16" s="317">
        <v>520</v>
      </c>
      <c r="R16" s="295">
        <f>677-44</f>
        <v>633</v>
      </c>
      <c r="S16" s="318">
        <f t="shared" si="3"/>
        <v>1.2173076923076922</v>
      </c>
      <c r="T16" s="319"/>
      <c r="U16" s="319"/>
      <c r="V16" s="317">
        <f t="shared" ref="V16:V20" si="5">B16+E16+H16+K16+N16+Q16</f>
        <v>2918.7096774193551</v>
      </c>
      <c r="W16" s="292">
        <f t="shared" ref="W16:W19" si="6">C16+F16+I16+L16+O16+R16</f>
        <v>2894</v>
      </c>
      <c r="X16" s="318">
        <f t="shared" si="4"/>
        <v>0.99153404067197159</v>
      </c>
    </row>
    <row r="17" spans="1:24">
      <c r="A17" s="316" t="s">
        <v>218</v>
      </c>
      <c r="B17" s="372">
        <f>(130/31)*19</f>
        <v>79.677419354838705</v>
      </c>
      <c r="C17" s="373">
        <v>63</v>
      </c>
      <c r="D17" s="278">
        <f t="shared" si="0"/>
        <v>0.79068825910931184</v>
      </c>
      <c r="E17" s="372">
        <v>130</v>
      </c>
      <c r="F17" s="373">
        <v>164</v>
      </c>
      <c r="G17" s="278">
        <f>IF(E17=0,0,(F17/E17))</f>
        <v>1.2615384615384615</v>
      </c>
      <c r="H17" s="372">
        <v>130</v>
      </c>
      <c r="I17" s="373">
        <v>115</v>
      </c>
      <c r="J17" s="278">
        <f t="shared" si="1"/>
        <v>0.88461538461538458</v>
      </c>
      <c r="K17" s="317">
        <v>130</v>
      </c>
      <c r="L17" s="292">
        <v>65</v>
      </c>
      <c r="M17" s="318">
        <f t="shared" si="2"/>
        <v>0.5</v>
      </c>
      <c r="N17" s="317">
        <v>130</v>
      </c>
      <c r="O17" s="292">
        <v>52</v>
      </c>
      <c r="P17" s="318">
        <f>IF(N17=0,0,(O17/N17))</f>
        <v>0.4</v>
      </c>
      <c r="Q17" s="317">
        <v>130</v>
      </c>
      <c r="R17" s="295">
        <f>44+76</f>
        <v>120</v>
      </c>
      <c r="S17" s="318">
        <f t="shared" si="3"/>
        <v>0.92307692307692313</v>
      </c>
      <c r="T17" s="319"/>
      <c r="U17" s="319"/>
      <c r="V17" s="317">
        <f t="shared" si="5"/>
        <v>729.67741935483878</v>
      </c>
      <c r="W17" s="292">
        <f t="shared" si="6"/>
        <v>579</v>
      </c>
      <c r="X17" s="318">
        <f t="shared" si="4"/>
        <v>0.79350132625994685</v>
      </c>
    </row>
    <row r="18" spans="1:24">
      <c r="A18" s="316" t="s">
        <v>149</v>
      </c>
      <c r="B18" s="372">
        <f>(218/31)*19</f>
        <v>133.61290322580646</v>
      </c>
      <c r="C18" s="374">
        <f>177-23</f>
        <v>154</v>
      </c>
      <c r="D18" s="278">
        <f t="shared" si="0"/>
        <v>1.152583293095123</v>
      </c>
      <c r="E18" s="372">
        <v>218</v>
      </c>
      <c r="F18" s="374">
        <f>268-14</f>
        <v>254</v>
      </c>
      <c r="G18" s="278">
        <f>IF(E18=0,0,(F18/E18))</f>
        <v>1.165137614678899</v>
      </c>
      <c r="H18" s="372">
        <v>218</v>
      </c>
      <c r="I18" s="374">
        <v>183</v>
      </c>
      <c r="J18" s="278">
        <f t="shared" si="1"/>
        <v>0.83944954128440363</v>
      </c>
      <c r="K18" s="317">
        <v>218</v>
      </c>
      <c r="L18" s="293">
        <v>199</v>
      </c>
      <c r="M18" s="318">
        <f t="shared" si="2"/>
        <v>0.91284403669724767</v>
      </c>
      <c r="N18" s="317">
        <v>218</v>
      </c>
      <c r="O18" s="293">
        <v>222</v>
      </c>
      <c r="P18" s="318">
        <f>IF(N18=0,0,(O18/N18))</f>
        <v>1.0183486238532109</v>
      </c>
      <c r="Q18" s="317">
        <v>218</v>
      </c>
      <c r="R18" s="295">
        <v>233</v>
      </c>
      <c r="S18" s="318">
        <f t="shared" si="3"/>
        <v>1.0688073394495412</v>
      </c>
      <c r="T18" s="319"/>
      <c r="U18" s="319"/>
      <c r="V18" s="317">
        <f t="shared" si="5"/>
        <v>1223.6129032258063</v>
      </c>
      <c r="W18" s="292">
        <f t="shared" si="6"/>
        <v>1245</v>
      </c>
      <c r="X18" s="318">
        <f t="shared" si="4"/>
        <v>1.017478645998102</v>
      </c>
    </row>
    <row r="19" spans="1:24">
      <c r="A19" s="320" t="s">
        <v>150</v>
      </c>
      <c r="B19" s="372">
        <f>(12/31)*19</f>
        <v>7.354838709677419</v>
      </c>
      <c r="C19" s="374">
        <v>4</v>
      </c>
      <c r="D19" s="278">
        <f t="shared" si="0"/>
        <v>0.54385964912280704</v>
      </c>
      <c r="E19" s="372">
        <v>12</v>
      </c>
      <c r="F19" s="374">
        <v>12</v>
      </c>
      <c r="G19" s="278">
        <f>IF(E19=0,0,(F19/E19))</f>
        <v>1</v>
      </c>
      <c r="H19" s="372">
        <v>12</v>
      </c>
      <c r="I19" s="374">
        <v>14</v>
      </c>
      <c r="J19" s="278">
        <f t="shared" si="1"/>
        <v>1.1666666666666667</v>
      </c>
      <c r="K19" s="321">
        <v>12</v>
      </c>
      <c r="L19" s="294">
        <v>13</v>
      </c>
      <c r="M19" s="318">
        <f t="shared" si="2"/>
        <v>1.0833333333333333</v>
      </c>
      <c r="N19" s="321">
        <v>12</v>
      </c>
      <c r="O19" s="294">
        <v>12</v>
      </c>
      <c r="P19" s="318">
        <f>IF(N19=0,0,(O19/N19))</f>
        <v>1</v>
      </c>
      <c r="Q19" s="321">
        <v>12</v>
      </c>
      <c r="R19" s="296">
        <v>8</v>
      </c>
      <c r="S19" s="318">
        <f t="shared" si="3"/>
        <v>0.66666666666666663</v>
      </c>
      <c r="T19" s="319"/>
      <c r="U19" s="319"/>
      <c r="V19" s="317">
        <f t="shared" si="5"/>
        <v>67.354838709677423</v>
      </c>
      <c r="W19" s="292">
        <f t="shared" si="6"/>
        <v>63</v>
      </c>
      <c r="X19" s="318">
        <f t="shared" si="4"/>
        <v>0.93534482758620685</v>
      </c>
    </row>
    <row r="20" spans="1:24" s="298" customFormat="1" ht="22.5" customHeight="1">
      <c r="A20" s="404" t="s">
        <v>151</v>
      </c>
      <c r="B20" s="405">
        <f>SUM(B15:B19)</f>
        <v>674.19354838709671</v>
      </c>
      <c r="C20" s="375">
        <f>SUM(C15:C19)</f>
        <v>468</v>
      </c>
      <c r="D20" s="398">
        <f t="shared" si="0"/>
        <v>0.69416267942583743</v>
      </c>
      <c r="E20" s="405">
        <f>SUM(E15:E19)</f>
        <v>1100</v>
      </c>
      <c r="F20" s="375">
        <f>SUM(F15:F19)</f>
        <v>1127</v>
      </c>
      <c r="G20" s="398">
        <f>IF(E20=0,0,(F20/E20))</f>
        <v>1.0245454545454546</v>
      </c>
      <c r="H20" s="405">
        <f>SUM(H15:H19)</f>
        <v>1100</v>
      </c>
      <c r="I20" s="376">
        <f>SUM(I15:I19)</f>
        <v>1040</v>
      </c>
      <c r="J20" s="398">
        <f t="shared" si="1"/>
        <v>0.94545454545454544</v>
      </c>
      <c r="K20" s="406">
        <f>SUM(K15:K19)</f>
        <v>1100</v>
      </c>
      <c r="L20" s="407">
        <f>SUM(L15:L19)</f>
        <v>1099</v>
      </c>
      <c r="M20" s="408">
        <f t="shared" si="2"/>
        <v>0.99909090909090914</v>
      </c>
      <c r="N20" s="406">
        <f>SUM(N15:N19)</f>
        <v>1100</v>
      </c>
      <c r="O20" s="407">
        <f>SUM(O15:O19)</f>
        <v>1188</v>
      </c>
      <c r="P20" s="408">
        <f>IF(N20=0,0,(O20/N20))</f>
        <v>1.08</v>
      </c>
      <c r="Q20" s="406">
        <f>SUM(Q15:Q19)</f>
        <v>1100</v>
      </c>
      <c r="R20" s="407">
        <f>SUM(R15:R19)</f>
        <v>1350</v>
      </c>
      <c r="S20" s="408">
        <f t="shared" si="3"/>
        <v>1.2272727272727273</v>
      </c>
      <c r="T20" s="409"/>
      <c r="U20" s="409"/>
      <c r="V20" s="348">
        <f t="shared" si="5"/>
        <v>6174.1935483870966</v>
      </c>
      <c r="W20" s="346">
        <f>C20+F20+I20+L20+O20+R20</f>
        <v>6272</v>
      </c>
      <c r="X20" s="331">
        <f t="shared" si="4"/>
        <v>1.015841170323929</v>
      </c>
    </row>
    <row r="21" spans="1:24" ht="12.75" hidden="1" customHeight="1">
      <c r="A21" s="323"/>
      <c r="B21" s="377"/>
      <c r="C21" s="378"/>
      <c r="D21" s="378"/>
      <c r="E21" s="377"/>
      <c r="F21" s="378"/>
      <c r="G21" s="378"/>
      <c r="H21" s="377"/>
      <c r="I21" s="378"/>
      <c r="J21" s="378"/>
      <c r="K21" s="324"/>
      <c r="L21" s="325"/>
      <c r="M21" s="325"/>
      <c r="N21" s="324"/>
      <c r="O21" s="325"/>
      <c r="P21" s="325"/>
      <c r="Q21" s="324"/>
      <c r="R21" s="325"/>
      <c r="S21" s="325"/>
      <c r="T21" s="325"/>
      <c r="U21" s="325"/>
      <c r="V21" s="326"/>
      <c r="W21" s="327"/>
      <c r="X21" s="328"/>
    </row>
    <row r="22" spans="1:24">
      <c r="A22" s="323"/>
      <c r="B22" s="379"/>
      <c r="C22" s="380"/>
      <c r="D22" s="380"/>
      <c r="E22" s="379"/>
      <c r="F22" s="380"/>
      <c r="G22" s="380"/>
      <c r="H22" s="379"/>
      <c r="I22" s="380"/>
      <c r="J22" s="380"/>
      <c r="K22" s="326"/>
      <c r="L22" s="329"/>
      <c r="M22" s="329"/>
      <c r="N22" s="326"/>
      <c r="O22" s="329"/>
      <c r="P22" s="329"/>
      <c r="Q22" s="326"/>
      <c r="R22" s="329"/>
      <c r="S22" s="329"/>
      <c r="T22" s="325"/>
      <c r="U22" s="325"/>
      <c r="V22" s="326"/>
      <c r="W22" s="327"/>
      <c r="X22" s="328"/>
    </row>
    <row r="23" spans="1:24">
      <c r="A23" s="553" t="s">
        <v>172</v>
      </c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</row>
    <row r="24" spans="1:24">
      <c r="A24" s="547" t="s">
        <v>152</v>
      </c>
      <c r="B24" s="554" t="s">
        <v>233</v>
      </c>
      <c r="C24" s="554"/>
      <c r="D24" s="554"/>
      <c r="E24" s="554" t="s">
        <v>234</v>
      </c>
      <c r="F24" s="554"/>
      <c r="G24" s="554"/>
      <c r="H24" s="554" t="s">
        <v>235</v>
      </c>
      <c r="I24" s="554"/>
      <c r="J24" s="554"/>
      <c r="K24" s="548" t="s">
        <v>227</v>
      </c>
      <c r="L24" s="548"/>
      <c r="M24" s="548"/>
      <c r="N24" s="549" t="s">
        <v>228</v>
      </c>
      <c r="O24" s="550"/>
      <c r="P24" s="551"/>
      <c r="Q24" s="548" t="s">
        <v>229</v>
      </c>
      <c r="R24" s="548"/>
      <c r="S24" s="548"/>
      <c r="T24" s="307"/>
      <c r="U24" s="307"/>
      <c r="V24" s="548" t="str">
        <f>V13</f>
        <v xml:space="preserve">Acumulado </v>
      </c>
      <c r="W24" s="548"/>
      <c r="X24" s="548"/>
    </row>
    <row r="25" spans="1:24" s="303" customFormat="1">
      <c r="A25" s="547"/>
      <c r="B25" s="369" t="s">
        <v>145</v>
      </c>
      <c r="C25" s="381" t="s">
        <v>146</v>
      </c>
      <c r="D25" s="371" t="s">
        <v>135</v>
      </c>
      <c r="E25" s="369" t="s">
        <v>145</v>
      </c>
      <c r="F25" s="381" t="s">
        <v>146</v>
      </c>
      <c r="G25" s="371" t="s">
        <v>135</v>
      </c>
      <c r="H25" s="369" t="s">
        <v>145</v>
      </c>
      <c r="I25" s="381" t="s">
        <v>146</v>
      </c>
      <c r="J25" s="371" t="s">
        <v>135</v>
      </c>
      <c r="K25" s="312" t="s">
        <v>145</v>
      </c>
      <c r="L25" s="291" t="s">
        <v>146</v>
      </c>
      <c r="M25" s="314" t="s">
        <v>135</v>
      </c>
      <c r="N25" s="312" t="s">
        <v>145</v>
      </c>
      <c r="O25" s="291" t="s">
        <v>146</v>
      </c>
      <c r="P25" s="314" t="s">
        <v>135</v>
      </c>
      <c r="Q25" s="312" t="s">
        <v>145</v>
      </c>
      <c r="R25" s="291" t="s">
        <v>146</v>
      </c>
      <c r="S25" s="314" t="s">
        <v>135</v>
      </c>
      <c r="T25" s="315"/>
      <c r="U25" s="315"/>
      <c r="V25" s="312" t="s">
        <v>145</v>
      </c>
      <c r="W25" s="291" t="s">
        <v>146</v>
      </c>
      <c r="X25" s="314" t="s">
        <v>135</v>
      </c>
    </row>
    <row r="26" spans="1:24" s="303" customFormat="1">
      <c r="A26" s="330" t="s">
        <v>153</v>
      </c>
      <c r="B26" s="372">
        <f>(E26/31)*19</f>
        <v>61.29032258064516</v>
      </c>
      <c r="C26" s="381">
        <v>24</v>
      </c>
      <c r="D26" s="281">
        <f>C26/B26</f>
        <v>0.39157894736842108</v>
      </c>
      <c r="E26" s="369">
        <v>100</v>
      </c>
      <c r="F26" s="381">
        <v>82</v>
      </c>
      <c r="G26" s="281">
        <f>F26/E26</f>
        <v>0.82</v>
      </c>
      <c r="H26" s="369">
        <v>100</v>
      </c>
      <c r="I26" s="381">
        <v>164</v>
      </c>
      <c r="J26" s="281">
        <f>I26/H26</f>
        <v>1.64</v>
      </c>
      <c r="K26" s="312">
        <v>100</v>
      </c>
      <c r="L26" s="291">
        <v>131</v>
      </c>
      <c r="M26" s="331">
        <f>L26/K26</f>
        <v>1.31</v>
      </c>
      <c r="N26" s="312">
        <v>100</v>
      </c>
      <c r="O26" s="332">
        <v>129</v>
      </c>
      <c r="P26" s="331">
        <f>O26/N26</f>
        <v>1.29</v>
      </c>
      <c r="Q26" s="312">
        <v>100</v>
      </c>
      <c r="R26" s="291">
        <v>90</v>
      </c>
      <c r="S26" s="331">
        <f>R26/Q26</f>
        <v>0.9</v>
      </c>
      <c r="T26" s="315"/>
      <c r="U26" s="315"/>
      <c r="V26" s="317">
        <f>B26+E26+H26+K26+N26+Q26</f>
        <v>561.29032258064512</v>
      </c>
      <c r="W26" s="292">
        <f>C26+F26+I26+L26+O26+R26</f>
        <v>620</v>
      </c>
      <c r="X26" s="331">
        <f>W26/V26</f>
        <v>1.1045977011494255</v>
      </c>
    </row>
    <row r="27" spans="1:24" s="303" customFormat="1">
      <c r="A27" s="333" t="s">
        <v>219</v>
      </c>
      <c r="B27" s="372">
        <f>(E27/31)*19</f>
        <v>61.29032258064516</v>
      </c>
      <c r="C27" s="381">
        <v>75</v>
      </c>
      <c r="D27" s="281">
        <f>C27/B27</f>
        <v>1.2236842105263157</v>
      </c>
      <c r="E27" s="369">
        <v>100</v>
      </c>
      <c r="F27" s="381">
        <v>56</v>
      </c>
      <c r="G27" s="281">
        <f>F27/E27</f>
        <v>0.56000000000000005</v>
      </c>
      <c r="H27" s="369">
        <v>100</v>
      </c>
      <c r="I27" s="381">
        <v>111</v>
      </c>
      <c r="J27" s="281">
        <f>I27/H27</f>
        <v>1.1100000000000001</v>
      </c>
      <c r="K27" s="312">
        <v>100</v>
      </c>
      <c r="L27" s="291">
        <v>86</v>
      </c>
      <c r="M27" s="331">
        <f>L27/K27</f>
        <v>0.86</v>
      </c>
      <c r="N27" s="312">
        <v>100</v>
      </c>
      <c r="O27" s="332">
        <v>105</v>
      </c>
      <c r="P27" s="331">
        <f>O27/N27</f>
        <v>1.05</v>
      </c>
      <c r="Q27" s="312">
        <v>100</v>
      </c>
      <c r="R27" s="291">
        <v>104</v>
      </c>
      <c r="S27" s="331">
        <f>R27/Q27</f>
        <v>1.04</v>
      </c>
      <c r="T27" s="315"/>
      <c r="U27" s="315"/>
      <c r="V27" s="317">
        <f>B27+E27+H27+K27+N27+Q27</f>
        <v>561.29032258064512</v>
      </c>
      <c r="W27" s="292">
        <f>C27+F27+I27+L27+O27+R27</f>
        <v>537</v>
      </c>
      <c r="X27" s="331">
        <f>W27/V27</f>
        <v>0.9567241379310345</v>
      </c>
    </row>
    <row r="28" spans="1:24">
      <c r="A28" s="334" t="s">
        <v>151</v>
      </c>
      <c r="B28" s="372">
        <v>122</v>
      </c>
      <c r="C28" s="287">
        <f>SUM(C26:C27)</f>
        <v>99</v>
      </c>
      <c r="D28" s="281">
        <f>C28/B28</f>
        <v>0.81147540983606559</v>
      </c>
      <c r="E28" s="369">
        <f>SUM(E26:E27)</f>
        <v>200</v>
      </c>
      <c r="F28" s="287">
        <f>SUM(F26:F27)</f>
        <v>138</v>
      </c>
      <c r="G28" s="281">
        <f>F28/E28</f>
        <v>0.69</v>
      </c>
      <c r="H28" s="369">
        <f>SUM(H26:H27)</f>
        <v>200</v>
      </c>
      <c r="I28" s="287">
        <f>SUM(I26:I27)</f>
        <v>275</v>
      </c>
      <c r="J28" s="281">
        <f>I28/H28</f>
        <v>1.375</v>
      </c>
      <c r="K28" s="312">
        <f>SUM(K26:K27)</f>
        <v>200</v>
      </c>
      <c r="L28" s="335">
        <f>SUM(L26:L27)</f>
        <v>217</v>
      </c>
      <c r="M28" s="331">
        <f>L28/K28</f>
        <v>1.085</v>
      </c>
      <c r="N28" s="312">
        <f>SUM(N26:N27)</f>
        <v>200</v>
      </c>
      <c r="O28" s="335">
        <f>SUM(O26:O27)</f>
        <v>234</v>
      </c>
      <c r="P28" s="331">
        <f>O28/N28</f>
        <v>1.17</v>
      </c>
      <c r="Q28" s="312">
        <f>SUM(Q26:Q27)</f>
        <v>200</v>
      </c>
      <c r="R28" s="335">
        <f>SUM(R26:R27)</f>
        <v>194</v>
      </c>
      <c r="S28" s="331">
        <f>R28/Q28</f>
        <v>0.97</v>
      </c>
      <c r="T28" s="319"/>
      <c r="U28" s="319"/>
      <c r="V28" s="348">
        <f t="shared" ref="V28" si="7">B28+E28+H28+K28+N28+Q28</f>
        <v>1122</v>
      </c>
      <c r="W28" s="346">
        <f>C28+F28+I28+L28+O28+R28</f>
        <v>1157</v>
      </c>
      <c r="X28" s="331">
        <f>W28/V28</f>
        <v>1.0311942959001783</v>
      </c>
    </row>
    <row r="29" spans="1:24">
      <c r="A29" s="336"/>
      <c r="B29" s="382"/>
      <c r="C29" s="382"/>
      <c r="D29" s="383"/>
      <c r="E29" s="382"/>
      <c r="F29" s="382"/>
      <c r="G29" s="383"/>
      <c r="H29" s="382"/>
      <c r="I29" s="382"/>
      <c r="J29" s="382"/>
      <c r="K29" s="337"/>
      <c r="L29" s="337"/>
      <c r="M29" s="338"/>
      <c r="N29" s="337"/>
      <c r="O29" s="337"/>
      <c r="P29" s="338"/>
      <c r="Q29" s="337"/>
      <c r="R29" s="337"/>
      <c r="S29" s="337"/>
      <c r="T29" s="325"/>
      <c r="U29" s="325"/>
      <c r="V29" s="339"/>
      <c r="W29" s="340"/>
      <c r="X29" s="339"/>
    </row>
    <row r="30" spans="1:24">
      <c r="A30" s="555" t="s">
        <v>173</v>
      </c>
      <c r="B30" s="555"/>
      <c r="C30" s="555"/>
      <c r="D30" s="555"/>
      <c r="E30" s="555"/>
      <c r="F30" s="555"/>
      <c r="G30" s="555"/>
      <c r="H30" s="555"/>
      <c r="I30" s="555"/>
      <c r="J30" s="555"/>
      <c r="K30" s="555"/>
      <c r="L30" s="555"/>
      <c r="M30" s="555"/>
      <c r="N30" s="555"/>
      <c r="O30" s="555"/>
      <c r="P30" s="555"/>
      <c r="Q30" s="555"/>
      <c r="R30" s="555"/>
      <c r="S30" s="555"/>
      <c r="T30" s="341"/>
      <c r="U30" s="341"/>
      <c r="V30" s="341"/>
      <c r="W30" s="341"/>
      <c r="X30" s="341"/>
    </row>
    <row r="31" spans="1:24">
      <c r="A31" s="547" t="s">
        <v>144</v>
      </c>
      <c r="B31" s="554" t="s">
        <v>233</v>
      </c>
      <c r="C31" s="554"/>
      <c r="D31" s="554"/>
      <c r="E31" s="554" t="s">
        <v>234</v>
      </c>
      <c r="F31" s="554"/>
      <c r="G31" s="554"/>
      <c r="H31" s="554" t="s">
        <v>235</v>
      </c>
      <c r="I31" s="554"/>
      <c r="J31" s="554"/>
      <c r="K31" s="548" t="s">
        <v>227</v>
      </c>
      <c r="L31" s="548"/>
      <c r="M31" s="548"/>
      <c r="N31" s="549" t="s">
        <v>228</v>
      </c>
      <c r="O31" s="550"/>
      <c r="P31" s="551"/>
      <c r="Q31" s="548" t="s">
        <v>229</v>
      </c>
      <c r="R31" s="548"/>
      <c r="S31" s="548"/>
      <c r="T31" s="307"/>
      <c r="U31" s="307"/>
      <c r="V31" s="548" t="str">
        <f>V13</f>
        <v xml:space="preserve">Acumulado </v>
      </c>
      <c r="W31" s="548"/>
      <c r="X31" s="548"/>
    </row>
    <row r="32" spans="1:24" s="303" customFormat="1">
      <c r="A32" s="547"/>
      <c r="B32" s="384" t="s">
        <v>145</v>
      </c>
      <c r="C32" s="381" t="s">
        <v>146</v>
      </c>
      <c r="D32" s="385" t="s">
        <v>135</v>
      </c>
      <c r="E32" s="369" t="s">
        <v>145</v>
      </c>
      <c r="F32" s="381" t="s">
        <v>146</v>
      </c>
      <c r="G32" s="385" t="s">
        <v>135</v>
      </c>
      <c r="H32" s="369" t="s">
        <v>145</v>
      </c>
      <c r="I32" s="381" t="s">
        <v>146</v>
      </c>
      <c r="J32" s="385" t="s">
        <v>135</v>
      </c>
      <c r="K32" s="342" t="s">
        <v>145</v>
      </c>
      <c r="L32" s="291" t="s">
        <v>146</v>
      </c>
      <c r="M32" s="343" t="s">
        <v>135</v>
      </c>
      <c r="N32" s="312" t="s">
        <v>145</v>
      </c>
      <c r="O32" s="291" t="s">
        <v>146</v>
      </c>
      <c r="P32" s="343" t="s">
        <v>135</v>
      </c>
      <c r="Q32" s="312" t="s">
        <v>145</v>
      </c>
      <c r="R32" s="291" t="s">
        <v>146</v>
      </c>
      <c r="S32" s="343" t="s">
        <v>135</v>
      </c>
      <c r="T32" s="315"/>
      <c r="U32" s="315"/>
      <c r="V32" s="312" t="s">
        <v>145</v>
      </c>
      <c r="W32" s="291" t="s">
        <v>146</v>
      </c>
      <c r="X32" s="343" t="s">
        <v>135</v>
      </c>
    </row>
    <row r="33" spans="1:24">
      <c r="A33" s="316" t="s">
        <v>154</v>
      </c>
      <c r="B33" s="372">
        <f>(E33/31)*19</f>
        <v>6741.9354838709669</v>
      </c>
      <c r="C33" s="386">
        <v>4027</v>
      </c>
      <c r="D33" s="280">
        <f>C33/B33</f>
        <v>0.5973062200956939</v>
      </c>
      <c r="E33" s="372">
        <v>11000</v>
      </c>
      <c r="F33" s="387">
        <v>8911</v>
      </c>
      <c r="G33" s="280">
        <f>F33/E33</f>
        <v>0.81009090909090908</v>
      </c>
      <c r="H33" s="372">
        <v>11000</v>
      </c>
      <c r="I33" s="386">
        <v>11039</v>
      </c>
      <c r="J33" s="280">
        <f>I33/H33</f>
        <v>1.0035454545454545</v>
      </c>
      <c r="K33" s="317">
        <v>11000</v>
      </c>
      <c r="L33" s="289">
        <f>'[1]CONSULTAS MÉDICAS'!E51</f>
        <v>13176</v>
      </c>
      <c r="M33" s="322">
        <f>L33/K33</f>
        <v>1.1978181818181819</v>
      </c>
      <c r="N33" s="317">
        <v>11000</v>
      </c>
      <c r="O33" s="290">
        <v>11094</v>
      </c>
      <c r="P33" s="322">
        <f>O33/N33</f>
        <v>1.0085454545454546</v>
      </c>
      <c r="Q33" s="317">
        <v>11000</v>
      </c>
      <c r="R33" s="289">
        <v>7377</v>
      </c>
      <c r="S33" s="322">
        <f>R33/Q33</f>
        <v>0.67063636363636359</v>
      </c>
      <c r="T33" s="319"/>
      <c r="U33" s="319"/>
      <c r="V33" s="317">
        <f t="shared" ref="V33:W37" si="8">B33+E33+H33+K33+N33+Q33</f>
        <v>61741.93548387097</v>
      </c>
      <c r="W33" s="292">
        <f t="shared" si="8"/>
        <v>55624</v>
      </c>
      <c r="X33" s="322">
        <f>W33/V33</f>
        <v>0.90091118077324972</v>
      </c>
    </row>
    <row r="34" spans="1:24">
      <c r="A34" s="316" t="s">
        <v>155</v>
      </c>
      <c r="B34" s="372">
        <f>(E34/31)*19</f>
        <v>4088.0645161290322</v>
      </c>
      <c r="C34" s="386">
        <f>'[1]CONSULTAS NÃO MÉDICAS'!B21</f>
        <v>4309</v>
      </c>
      <c r="D34" s="280">
        <f>C34/B34</f>
        <v>1.0540440306162708</v>
      </c>
      <c r="E34" s="372">
        <v>6670</v>
      </c>
      <c r="F34" s="387">
        <f>'[1]CONSULTAS NÃO MÉDICAS'!C21</f>
        <v>5219</v>
      </c>
      <c r="G34" s="280">
        <f>F34/E34</f>
        <v>0.7824587706146926</v>
      </c>
      <c r="H34" s="372">
        <v>6670</v>
      </c>
      <c r="I34" s="386">
        <f>'[1]CONSULTAS NÃO MÉDICAS'!D21</f>
        <v>7542</v>
      </c>
      <c r="J34" s="280">
        <f>I34/H34</f>
        <v>1.1307346326836583</v>
      </c>
      <c r="K34" s="317">
        <v>6670</v>
      </c>
      <c r="L34" s="289">
        <f>'[1]CONSULTAS NÃO MÉDICAS'!E21</f>
        <v>8688</v>
      </c>
      <c r="M34" s="322">
        <f>L34/K34</f>
        <v>1.3025487256371815</v>
      </c>
      <c r="N34" s="317">
        <v>6670</v>
      </c>
      <c r="O34" s="290">
        <f>'[1]CONSULTAS NÃO MÉDICAS'!F21</f>
        <v>7734</v>
      </c>
      <c r="P34" s="322">
        <f>O34/N34</f>
        <v>1.1595202398800599</v>
      </c>
      <c r="Q34" s="317">
        <v>6670</v>
      </c>
      <c r="R34" s="289">
        <v>6522</v>
      </c>
      <c r="S34" s="322">
        <f>R34/Q34</f>
        <v>0.97781109445277359</v>
      </c>
      <c r="T34" s="319"/>
      <c r="U34" s="319"/>
      <c r="V34" s="317">
        <f t="shared" si="8"/>
        <v>37438.06451612903</v>
      </c>
      <c r="W34" s="292">
        <f t="shared" si="8"/>
        <v>40014</v>
      </c>
      <c r="X34" s="322">
        <f>W34/V34</f>
        <v>1.0688052525461407</v>
      </c>
    </row>
    <row r="35" spans="1:24">
      <c r="A35" s="316" t="s">
        <v>220</v>
      </c>
      <c r="B35" s="372">
        <f>(E35/31)*19</f>
        <v>1838.7096774193549</v>
      </c>
      <c r="C35" s="386">
        <v>1376</v>
      </c>
      <c r="D35" s="280">
        <f>C35/B35</f>
        <v>0.74835087719298243</v>
      </c>
      <c r="E35" s="372">
        <v>3000</v>
      </c>
      <c r="F35" s="387">
        <v>2778</v>
      </c>
      <c r="G35" s="280">
        <f>F35/E35</f>
        <v>0.92600000000000005</v>
      </c>
      <c r="H35" s="372">
        <v>3000</v>
      </c>
      <c r="I35" s="386">
        <v>3543</v>
      </c>
      <c r="J35" s="280">
        <f>I35/H35</f>
        <v>1.181</v>
      </c>
      <c r="K35" s="317">
        <v>3000</v>
      </c>
      <c r="L35" s="289">
        <v>3147</v>
      </c>
      <c r="M35" s="322">
        <f>L35/K35</f>
        <v>1.0489999999999999</v>
      </c>
      <c r="N35" s="317">
        <v>3000</v>
      </c>
      <c r="O35" s="290">
        <v>3360</v>
      </c>
      <c r="P35" s="322">
        <f>O35/N35</f>
        <v>1.1200000000000001</v>
      </c>
      <c r="Q35" s="317">
        <v>3000</v>
      </c>
      <c r="R35" s="289">
        <f>3446-147</f>
        <v>3299</v>
      </c>
      <c r="S35" s="322">
        <f>R35/Q35</f>
        <v>1.0996666666666666</v>
      </c>
      <c r="T35" s="319"/>
      <c r="U35" s="319"/>
      <c r="V35" s="317">
        <f t="shared" si="8"/>
        <v>16838.709677419356</v>
      </c>
      <c r="W35" s="292">
        <f t="shared" si="8"/>
        <v>17503</v>
      </c>
      <c r="X35" s="322">
        <f>W35/V35</f>
        <v>1.0394501915708811</v>
      </c>
    </row>
    <row r="36" spans="1:24">
      <c r="A36" s="344" t="s">
        <v>221</v>
      </c>
      <c r="B36" s="372">
        <f>(E36/31)*19</f>
        <v>122.58064516129032</v>
      </c>
      <c r="C36" s="388">
        <v>101</v>
      </c>
      <c r="D36" s="280">
        <f>C36/B36</f>
        <v>0.82394736842105265</v>
      </c>
      <c r="E36" s="372">
        <v>200</v>
      </c>
      <c r="F36" s="387">
        <v>318</v>
      </c>
      <c r="G36" s="280">
        <f>F36/E36</f>
        <v>1.59</v>
      </c>
      <c r="H36" s="372">
        <v>200</v>
      </c>
      <c r="I36" s="386">
        <v>59</v>
      </c>
      <c r="J36" s="280">
        <f>I36/H36</f>
        <v>0.29499999999999998</v>
      </c>
      <c r="K36" s="317">
        <v>200</v>
      </c>
      <c r="L36" s="289">
        <v>241</v>
      </c>
      <c r="M36" s="322">
        <f>L36/K36</f>
        <v>1.2050000000000001</v>
      </c>
      <c r="N36" s="317">
        <v>200</v>
      </c>
      <c r="O36" s="290">
        <v>88</v>
      </c>
      <c r="P36" s="322">
        <f>O36/N36</f>
        <v>0.44</v>
      </c>
      <c r="Q36" s="317">
        <v>200</v>
      </c>
      <c r="R36" s="289">
        <v>231</v>
      </c>
      <c r="S36" s="322">
        <f>R36/Q36</f>
        <v>1.155</v>
      </c>
      <c r="T36" s="319"/>
      <c r="U36" s="319"/>
      <c r="V36" s="317">
        <f t="shared" si="8"/>
        <v>1122.5806451612902</v>
      </c>
      <c r="W36" s="292">
        <f t="shared" si="8"/>
        <v>1038</v>
      </c>
      <c r="X36" s="322">
        <f>W36/V36</f>
        <v>0.92465517241379314</v>
      </c>
    </row>
    <row r="37" spans="1:24">
      <c r="A37" s="316"/>
      <c r="B37" s="372">
        <f>(E37/31)*19</f>
        <v>12791.290322580646</v>
      </c>
      <c r="C37" s="389">
        <f>SUM(C33:C36)</f>
        <v>9813</v>
      </c>
      <c r="D37" s="280">
        <f>C37/B37</f>
        <v>0.76716263586613875</v>
      </c>
      <c r="E37" s="390">
        <f>SUM(E33:E36)</f>
        <v>20870</v>
      </c>
      <c r="F37" s="287">
        <f>SUM(F33:F36)</f>
        <v>17226</v>
      </c>
      <c r="G37" s="280">
        <f>F37/E37</f>
        <v>0.82539530426449448</v>
      </c>
      <c r="H37" s="391">
        <f>SUM(H33:H36)</f>
        <v>20870</v>
      </c>
      <c r="I37" s="287">
        <f>SUM(I33:I36)</f>
        <v>22183</v>
      </c>
      <c r="J37" s="280">
        <f>I37/H37</f>
        <v>1.0629132726401533</v>
      </c>
      <c r="K37" s="345">
        <f>SUM(K33:K36)</f>
        <v>20870</v>
      </c>
      <c r="L37" s="346">
        <f>SUM(L33:L36)</f>
        <v>25252</v>
      </c>
      <c r="M37" s="322">
        <f>L37/K37</f>
        <v>1.2099664590321035</v>
      </c>
      <c r="N37" s="347">
        <f>SUM(N33:N36)</f>
        <v>20870</v>
      </c>
      <c r="O37" s="335">
        <f>SUM(O33:O36)</f>
        <v>22276</v>
      </c>
      <c r="P37" s="322">
        <f>O37/N37</f>
        <v>1.0673694298035457</v>
      </c>
      <c r="Q37" s="348">
        <f>SUM(Q33:Q36)</f>
        <v>20870</v>
      </c>
      <c r="R37" s="335">
        <f>SUM(R33:R36)</f>
        <v>17429</v>
      </c>
      <c r="S37" s="322">
        <f>R37/Q37</f>
        <v>0.8351221849544801</v>
      </c>
      <c r="T37" s="319"/>
      <c r="U37" s="319"/>
      <c r="V37" s="317">
        <f t="shared" si="8"/>
        <v>117141.29032258064</v>
      </c>
      <c r="W37" s="350">
        <f t="shared" si="8"/>
        <v>114179</v>
      </c>
      <c r="X37" s="322">
        <f>W37/V37</f>
        <v>0.97471181754594682</v>
      </c>
    </row>
    <row r="38" spans="1:24">
      <c r="A38" s="349" t="s">
        <v>156</v>
      </c>
      <c r="B38" s="392"/>
      <c r="C38" s="382"/>
      <c r="D38" s="382"/>
      <c r="E38" s="383"/>
      <c r="F38" s="382"/>
      <c r="G38" s="382"/>
      <c r="H38" s="383"/>
      <c r="I38" s="382"/>
      <c r="J38" s="382"/>
      <c r="K38" s="336"/>
      <c r="L38" s="337"/>
      <c r="M38" s="337"/>
      <c r="N38" s="338"/>
      <c r="O38" s="337"/>
      <c r="P38" s="337"/>
      <c r="Q38" s="338"/>
      <c r="R38" s="337"/>
      <c r="S38" s="337"/>
      <c r="T38" s="325"/>
      <c r="U38" s="325"/>
      <c r="V38" s="339"/>
      <c r="W38" s="340"/>
      <c r="X38" s="339"/>
    </row>
    <row r="39" spans="1:24">
      <c r="A39" s="556" t="s">
        <v>157</v>
      </c>
      <c r="B39" s="556"/>
      <c r="C39" s="556"/>
      <c r="D39" s="556"/>
      <c r="E39" s="556"/>
      <c r="F39" s="556"/>
      <c r="G39" s="556"/>
      <c r="H39" s="556"/>
      <c r="I39" s="556"/>
      <c r="J39" s="556"/>
      <c r="K39" s="556"/>
      <c r="L39" s="556"/>
      <c r="M39" s="556"/>
      <c r="N39" s="556"/>
      <c r="O39" s="556"/>
      <c r="P39" s="556"/>
      <c r="Q39" s="556"/>
      <c r="R39" s="556"/>
      <c r="S39" s="556"/>
      <c r="T39" s="311"/>
      <c r="U39" s="311"/>
      <c r="V39" s="311"/>
      <c r="W39" s="311"/>
      <c r="X39" s="311"/>
    </row>
    <row r="40" spans="1:24">
      <c r="A40" s="547" t="s">
        <v>222</v>
      </c>
      <c r="B40" s="554" t="s">
        <v>233</v>
      </c>
      <c r="C40" s="554"/>
      <c r="D40" s="554"/>
      <c r="E40" s="554" t="s">
        <v>234</v>
      </c>
      <c r="F40" s="554"/>
      <c r="G40" s="554"/>
      <c r="H40" s="554" t="s">
        <v>235</v>
      </c>
      <c r="I40" s="554"/>
      <c r="J40" s="554"/>
      <c r="K40" s="548" t="s">
        <v>227</v>
      </c>
      <c r="L40" s="548"/>
      <c r="M40" s="548"/>
      <c r="N40" s="549" t="s">
        <v>228</v>
      </c>
      <c r="O40" s="550"/>
      <c r="P40" s="551"/>
      <c r="Q40" s="548" t="s">
        <v>229</v>
      </c>
      <c r="R40" s="548"/>
      <c r="S40" s="548"/>
      <c r="T40" s="307"/>
      <c r="U40" s="307"/>
      <c r="V40" s="548" t="str">
        <f>V24</f>
        <v xml:space="preserve">Acumulado </v>
      </c>
      <c r="W40" s="548"/>
      <c r="X40" s="548"/>
    </row>
    <row r="41" spans="1:24" s="303" customFormat="1">
      <c r="A41" s="547"/>
      <c r="B41" s="369" t="s">
        <v>145</v>
      </c>
      <c r="C41" s="381" t="s">
        <v>146</v>
      </c>
      <c r="D41" s="371" t="s">
        <v>135</v>
      </c>
      <c r="E41" s="369" t="s">
        <v>145</v>
      </c>
      <c r="F41" s="381" t="s">
        <v>146</v>
      </c>
      <c r="G41" s="371" t="s">
        <v>135</v>
      </c>
      <c r="H41" s="369" t="s">
        <v>145</v>
      </c>
      <c r="I41" s="381" t="s">
        <v>146</v>
      </c>
      <c r="J41" s="371" t="s">
        <v>135</v>
      </c>
      <c r="K41" s="312" t="s">
        <v>145</v>
      </c>
      <c r="L41" s="291" t="s">
        <v>146</v>
      </c>
      <c r="M41" s="314" t="s">
        <v>135</v>
      </c>
      <c r="N41" s="312" t="s">
        <v>145</v>
      </c>
      <c r="O41" s="291" t="s">
        <v>146</v>
      </c>
      <c r="P41" s="314" t="s">
        <v>135</v>
      </c>
      <c r="Q41" s="312" t="s">
        <v>145</v>
      </c>
      <c r="R41" s="291" t="s">
        <v>146</v>
      </c>
      <c r="S41" s="314" t="s">
        <v>135</v>
      </c>
      <c r="T41" s="315"/>
      <c r="U41" s="315"/>
      <c r="V41" s="312" t="s">
        <v>145</v>
      </c>
      <c r="W41" s="291" t="s">
        <v>146</v>
      </c>
      <c r="X41" s="314" t="s">
        <v>135</v>
      </c>
    </row>
    <row r="42" spans="1:24">
      <c r="A42" s="316" t="s">
        <v>158</v>
      </c>
      <c r="B42" s="372">
        <f>(E42/31)*19</f>
        <v>1103.2258064516129</v>
      </c>
      <c r="C42" s="286">
        <v>905</v>
      </c>
      <c r="D42" s="281">
        <f>IF(B42=0,0,(C42/B42))</f>
        <v>0.82032163742690056</v>
      </c>
      <c r="E42" s="391">
        <v>1800</v>
      </c>
      <c r="F42" s="286">
        <v>1043</v>
      </c>
      <c r="G42" s="281">
        <f>IF(E42=0,0,(F42/E42))</f>
        <v>0.57944444444444443</v>
      </c>
      <c r="H42" s="391">
        <v>1800</v>
      </c>
      <c r="I42" s="286">
        <v>1238</v>
      </c>
      <c r="J42" s="281">
        <f>IF(H42=0,0,(I42/H42))</f>
        <v>0.68777777777777782</v>
      </c>
      <c r="K42" s="348">
        <v>1800</v>
      </c>
      <c r="L42" s="350">
        <v>1395</v>
      </c>
      <c r="M42" s="331">
        <f>IF(K42=0,0,(L42/K42))</f>
        <v>0.77500000000000002</v>
      </c>
      <c r="N42" s="348">
        <v>1800</v>
      </c>
      <c r="O42" s="351">
        <v>1354</v>
      </c>
      <c r="P42" s="331">
        <f>IF(N42=0,0,(O42/N42))</f>
        <v>0.75222222222222224</v>
      </c>
      <c r="Q42" s="348">
        <v>1800</v>
      </c>
      <c r="R42" s="350">
        <v>1587</v>
      </c>
      <c r="S42" s="331">
        <f>IF(Q42=0,0,(R42/Q42))</f>
        <v>0.88166666666666671</v>
      </c>
      <c r="T42" s="319"/>
      <c r="U42" s="319"/>
      <c r="V42" s="348">
        <f>K42+N42+Q42</f>
        <v>5400</v>
      </c>
      <c r="W42" s="350">
        <f>L42+O42+R42</f>
        <v>4336</v>
      </c>
      <c r="X42" s="331">
        <f>W42/V42</f>
        <v>0.80296296296296299</v>
      </c>
    </row>
    <row r="43" spans="1:24">
      <c r="A43" s="336"/>
      <c r="B43" s="383"/>
      <c r="C43" s="382"/>
      <c r="D43" s="382"/>
      <c r="E43" s="383"/>
      <c r="F43" s="382"/>
      <c r="G43" s="382"/>
      <c r="H43" s="383"/>
      <c r="I43" s="382"/>
      <c r="J43" s="382"/>
      <c r="K43" s="338"/>
      <c r="L43" s="337"/>
      <c r="M43" s="337"/>
      <c r="N43" s="338"/>
      <c r="O43" s="337"/>
      <c r="P43" s="337"/>
      <c r="Q43" s="338"/>
      <c r="R43" s="337"/>
      <c r="S43" s="337"/>
      <c r="T43" s="325"/>
      <c r="U43" s="325"/>
      <c r="V43" s="339"/>
      <c r="W43" s="340"/>
      <c r="X43" s="339"/>
    </row>
    <row r="44" spans="1:24">
      <c r="A44" s="556"/>
      <c r="B44" s="556"/>
      <c r="C44" s="556"/>
      <c r="D44" s="556"/>
      <c r="E44" s="556"/>
      <c r="F44" s="556"/>
      <c r="G44" s="556"/>
      <c r="H44" s="556"/>
      <c r="I44" s="556"/>
      <c r="J44" s="556"/>
      <c r="K44" s="556"/>
      <c r="L44" s="556"/>
      <c r="M44" s="556"/>
      <c r="N44" s="556"/>
      <c r="O44" s="556"/>
      <c r="P44" s="556"/>
      <c r="Q44" s="556"/>
      <c r="R44" s="556"/>
      <c r="S44" s="556"/>
      <c r="T44" s="311"/>
      <c r="U44" s="311"/>
      <c r="V44" s="311"/>
      <c r="W44" s="311"/>
      <c r="X44" s="311"/>
    </row>
    <row r="45" spans="1:24">
      <c r="A45" s="553" t="s">
        <v>174</v>
      </c>
      <c r="B45" s="553"/>
      <c r="C45" s="553"/>
      <c r="D45" s="553"/>
      <c r="E45" s="553"/>
      <c r="F45" s="553"/>
      <c r="G45" s="553"/>
      <c r="H45" s="553"/>
      <c r="I45" s="553"/>
      <c r="J45" s="553"/>
      <c r="K45" s="553"/>
      <c r="L45" s="553"/>
      <c r="M45" s="553"/>
      <c r="N45" s="553"/>
      <c r="O45" s="553"/>
      <c r="P45" s="553"/>
      <c r="Q45" s="553"/>
      <c r="R45" s="553"/>
      <c r="S45" s="553"/>
      <c r="T45" s="553"/>
      <c r="U45" s="553"/>
      <c r="V45" s="553"/>
      <c r="W45" s="553"/>
      <c r="X45" s="553"/>
    </row>
    <row r="46" spans="1:24">
      <c r="A46" s="547" t="s">
        <v>174</v>
      </c>
      <c r="B46" s="554" t="s">
        <v>233</v>
      </c>
      <c r="C46" s="554"/>
      <c r="D46" s="554"/>
      <c r="E46" s="554" t="s">
        <v>234</v>
      </c>
      <c r="F46" s="554"/>
      <c r="G46" s="554"/>
      <c r="H46" s="554" t="s">
        <v>235</v>
      </c>
      <c r="I46" s="554"/>
      <c r="J46" s="554"/>
      <c r="K46" s="548" t="s">
        <v>227</v>
      </c>
      <c r="L46" s="548"/>
      <c r="M46" s="548"/>
      <c r="N46" s="549" t="s">
        <v>228</v>
      </c>
      <c r="O46" s="550"/>
      <c r="P46" s="551"/>
      <c r="Q46" s="548" t="s">
        <v>229</v>
      </c>
      <c r="R46" s="548"/>
      <c r="S46" s="548"/>
      <c r="T46" s="307"/>
      <c r="U46" s="307"/>
      <c r="V46" s="548" t="str">
        <f>V13</f>
        <v xml:space="preserve">Acumulado </v>
      </c>
      <c r="W46" s="548"/>
      <c r="X46" s="548"/>
    </row>
    <row r="47" spans="1:24" s="303" customFormat="1">
      <c r="A47" s="547"/>
      <c r="B47" s="369" t="s">
        <v>145</v>
      </c>
      <c r="C47" s="393" t="s">
        <v>146</v>
      </c>
      <c r="D47" s="280" t="s">
        <v>135</v>
      </c>
      <c r="E47" s="369" t="s">
        <v>145</v>
      </c>
      <c r="F47" s="393" t="s">
        <v>146</v>
      </c>
      <c r="G47" s="280" t="s">
        <v>135</v>
      </c>
      <c r="H47" s="369" t="s">
        <v>145</v>
      </c>
      <c r="I47" s="393" t="s">
        <v>146</v>
      </c>
      <c r="J47" s="280" t="s">
        <v>135</v>
      </c>
      <c r="K47" s="312" t="s">
        <v>145</v>
      </c>
      <c r="L47" s="352" t="s">
        <v>146</v>
      </c>
      <c r="M47" s="322" t="s">
        <v>135</v>
      </c>
      <c r="N47" s="312" t="s">
        <v>145</v>
      </c>
      <c r="O47" s="352" t="s">
        <v>146</v>
      </c>
      <c r="P47" s="322" t="s">
        <v>135</v>
      </c>
      <c r="Q47" s="312" t="s">
        <v>145</v>
      </c>
      <c r="R47" s="352" t="s">
        <v>146</v>
      </c>
      <c r="S47" s="322" t="s">
        <v>135</v>
      </c>
      <c r="T47" s="315"/>
      <c r="U47" s="315"/>
      <c r="V47" s="312" t="s">
        <v>145</v>
      </c>
      <c r="W47" s="352" t="s">
        <v>146</v>
      </c>
      <c r="X47" s="322" t="s">
        <v>135</v>
      </c>
    </row>
    <row r="48" spans="1:24">
      <c r="A48" s="316" t="s">
        <v>223</v>
      </c>
      <c r="B48" s="372">
        <f>(E48/31)*19</f>
        <v>796.77419354838707</v>
      </c>
      <c r="C48" s="287">
        <v>1657</v>
      </c>
      <c r="D48" s="297">
        <f>IF(B48=0,0,(C48/B48))</f>
        <v>2.0796356275303642</v>
      </c>
      <c r="E48" s="391">
        <v>1300</v>
      </c>
      <c r="F48" s="286">
        <v>1658</v>
      </c>
      <c r="G48" s="297">
        <f>IF(E48=0,0,(F48/E48))</f>
        <v>1.2753846153846153</v>
      </c>
      <c r="H48" s="391">
        <v>1300</v>
      </c>
      <c r="I48" s="286">
        <v>1559</v>
      </c>
      <c r="J48" s="297">
        <f>IF(H48=0,0,(I48/H48))</f>
        <v>1.1992307692307693</v>
      </c>
      <c r="K48" s="348">
        <v>1300</v>
      </c>
      <c r="L48" s="335">
        <v>1589</v>
      </c>
      <c r="M48" s="353">
        <f>IF(K48=0,0,(L48/K48))</f>
        <v>1.2223076923076923</v>
      </c>
      <c r="N48" s="348">
        <v>1300</v>
      </c>
      <c r="O48" s="354">
        <v>1615</v>
      </c>
      <c r="P48" s="353">
        <f>IF(N48=0,0,(O48/N48))</f>
        <v>1.2423076923076923</v>
      </c>
      <c r="Q48" s="348">
        <v>1300</v>
      </c>
      <c r="R48" s="335">
        <v>1741</v>
      </c>
      <c r="S48" s="353">
        <f>IF(Q48=0,0,(R48/Q48))</f>
        <v>1.3392307692307692</v>
      </c>
      <c r="T48" s="319"/>
      <c r="U48" s="319"/>
      <c r="V48" s="348">
        <f>B48+E48+H48+K48+N48+Q48</f>
        <v>7296.7741935483873</v>
      </c>
      <c r="W48" s="350">
        <f>C48+F48+I48+L48+O48+R48</f>
        <v>9819</v>
      </c>
      <c r="X48" s="331">
        <f>W48/V48</f>
        <v>1.3456631299734747</v>
      </c>
    </row>
    <row r="49" spans="1:24">
      <c r="A49" s="336"/>
      <c r="B49" s="383"/>
      <c r="C49" s="382"/>
      <c r="D49" s="382"/>
      <c r="E49" s="383"/>
      <c r="F49" s="382"/>
      <c r="G49" s="382"/>
      <c r="H49" s="383"/>
      <c r="I49" s="382"/>
      <c r="J49" s="382"/>
      <c r="K49" s="338"/>
      <c r="L49" s="337"/>
      <c r="M49" s="337"/>
      <c r="N49" s="338"/>
      <c r="O49" s="337"/>
      <c r="P49" s="337"/>
      <c r="Q49" s="338"/>
      <c r="R49" s="337"/>
      <c r="S49" s="337"/>
      <c r="T49" s="325"/>
      <c r="U49" s="325"/>
      <c r="V49" s="339"/>
      <c r="W49" s="340"/>
      <c r="X49" s="339"/>
    </row>
    <row r="50" spans="1:24">
      <c r="A50" s="556" t="s">
        <v>224</v>
      </c>
      <c r="B50" s="556"/>
      <c r="C50" s="556"/>
      <c r="D50" s="556"/>
      <c r="E50" s="556"/>
      <c r="F50" s="556"/>
      <c r="G50" s="556"/>
      <c r="H50" s="556"/>
      <c r="I50" s="556"/>
      <c r="J50" s="556"/>
      <c r="K50" s="556"/>
      <c r="L50" s="556"/>
      <c r="M50" s="556"/>
      <c r="N50" s="556"/>
      <c r="O50" s="556"/>
      <c r="P50" s="556"/>
      <c r="Q50" s="556"/>
      <c r="R50" s="556"/>
      <c r="S50" s="556"/>
      <c r="T50" s="311"/>
      <c r="U50" s="311"/>
      <c r="V50" s="311"/>
      <c r="W50" s="311"/>
      <c r="X50" s="311"/>
    </row>
    <row r="51" spans="1:24">
      <c r="A51" s="547" t="s">
        <v>159</v>
      </c>
      <c r="B51" s="554" t="s">
        <v>233</v>
      </c>
      <c r="C51" s="554"/>
      <c r="D51" s="554"/>
      <c r="E51" s="554" t="s">
        <v>234</v>
      </c>
      <c r="F51" s="554"/>
      <c r="G51" s="554"/>
      <c r="H51" s="554" t="s">
        <v>235</v>
      </c>
      <c r="I51" s="554"/>
      <c r="J51" s="554"/>
      <c r="K51" s="549" t="s">
        <v>227</v>
      </c>
      <c r="L51" s="550"/>
      <c r="M51" s="558"/>
      <c r="N51" s="559" t="s">
        <v>228</v>
      </c>
      <c r="O51" s="550"/>
      <c r="P51" s="551"/>
      <c r="Q51" s="549" t="s">
        <v>229</v>
      </c>
      <c r="R51" s="550"/>
      <c r="S51" s="551"/>
      <c r="T51" s="307"/>
      <c r="U51" s="307"/>
      <c r="V51" s="548" t="str">
        <f>V46</f>
        <v xml:space="preserve">Acumulado </v>
      </c>
      <c r="W51" s="548"/>
      <c r="X51" s="548"/>
    </row>
    <row r="52" spans="1:24" s="303" customFormat="1">
      <c r="A52" s="547"/>
      <c r="B52" s="394" t="s">
        <v>145</v>
      </c>
      <c r="C52" s="393" t="s">
        <v>146</v>
      </c>
      <c r="D52" s="395"/>
      <c r="E52" s="369" t="s">
        <v>145</v>
      </c>
      <c r="F52" s="396" t="s">
        <v>146</v>
      </c>
      <c r="G52" s="371" t="s">
        <v>135</v>
      </c>
      <c r="H52" s="369" t="s">
        <v>145</v>
      </c>
      <c r="I52" s="370" t="s">
        <v>146</v>
      </c>
      <c r="J52" s="371" t="s">
        <v>135</v>
      </c>
      <c r="K52" s="312" t="s">
        <v>145</v>
      </c>
      <c r="L52" s="355" t="s">
        <v>146</v>
      </c>
      <c r="M52" s="314" t="s">
        <v>135</v>
      </c>
      <c r="N52" s="312" t="s">
        <v>145</v>
      </c>
      <c r="O52" s="356" t="s">
        <v>146</v>
      </c>
      <c r="P52" s="314" t="s">
        <v>135</v>
      </c>
      <c r="Q52" s="312" t="s">
        <v>145</v>
      </c>
      <c r="R52" s="313" t="s">
        <v>146</v>
      </c>
      <c r="S52" s="343" t="s">
        <v>135</v>
      </c>
      <c r="T52" s="315"/>
      <c r="U52" s="315"/>
      <c r="V52" s="312" t="s">
        <v>145</v>
      </c>
      <c r="W52" s="291" t="s">
        <v>146</v>
      </c>
      <c r="X52" s="314" t="s">
        <v>135</v>
      </c>
    </row>
    <row r="53" spans="1:24" s="428" customFormat="1">
      <c r="A53" s="429" t="s">
        <v>236</v>
      </c>
      <c r="B53" s="417">
        <f>(E53/31)*19</f>
        <v>153.2258064516129</v>
      </c>
      <c r="C53" s="418">
        <f>102</f>
        <v>102</v>
      </c>
      <c r="D53" s="419">
        <f>IF(B53=0,0,(C53/B53))</f>
        <v>0.66568421052631577</v>
      </c>
      <c r="E53" s="420">
        <v>250</v>
      </c>
      <c r="F53" s="418">
        <v>219</v>
      </c>
      <c r="G53" s="279">
        <f>F53/E53</f>
        <v>0.876</v>
      </c>
      <c r="H53" s="420">
        <v>250</v>
      </c>
      <c r="I53" s="418">
        <v>293</v>
      </c>
      <c r="J53" s="279">
        <f>I53/H53</f>
        <v>1.1719999999999999</v>
      </c>
      <c r="K53" s="423">
        <v>250</v>
      </c>
      <c r="L53" s="422">
        <v>217</v>
      </c>
      <c r="M53" s="424">
        <f>IF(K53=0,0,(L53/K53))</f>
        <v>0.86799999999999999</v>
      </c>
      <c r="N53" s="425">
        <v>250</v>
      </c>
      <c r="O53" s="426">
        <v>289</v>
      </c>
      <c r="P53" s="424">
        <f>IF(N53=0,0,(O53/N53))</f>
        <v>1.1559999999999999</v>
      </c>
      <c r="Q53" s="425">
        <v>250</v>
      </c>
      <c r="R53" s="426">
        <v>147</v>
      </c>
      <c r="S53" s="427">
        <f>IF(R53=0,0,(R53/Q53))</f>
        <v>0.58799999999999997</v>
      </c>
      <c r="T53" s="421"/>
      <c r="U53" s="421"/>
      <c r="V53" s="348">
        <f>B53+E53+H53+K53+N53+Q53</f>
        <v>1403.2258064516129</v>
      </c>
      <c r="W53" s="350">
        <f>C53+F53+I53+L53+O53+R53</f>
        <v>1267</v>
      </c>
      <c r="X53" s="331">
        <f>IF(V53=0,0,(W53/V53))</f>
        <v>0.90291954022988508</v>
      </c>
    </row>
    <row r="54" spans="1:24" s="309" customFormat="1" ht="12.75" hidden="1" customHeight="1">
      <c r="A54" s="357" t="s">
        <v>160</v>
      </c>
      <c r="B54" s="399">
        <v>5</v>
      </c>
      <c r="C54" s="400" t="e">
        <f>#REF!</f>
        <v>#REF!</v>
      </c>
      <c r="D54" s="297" t="e">
        <f>IF(B54=0,0,(C54/B54))</f>
        <v>#REF!</v>
      </c>
      <c r="E54" s="399">
        <v>5</v>
      </c>
      <c r="F54" s="400" t="e">
        <f>#REF!</f>
        <v>#REF!</v>
      </c>
      <c r="G54" s="297" t="e">
        <f>IF(E54=0,0,(F54/E54))</f>
        <v>#REF!</v>
      </c>
      <c r="H54" s="399">
        <v>5</v>
      </c>
      <c r="I54" s="400" t="e">
        <f>#REF!</f>
        <v>#REF!</v>
      </c>
      <c r="J54" s="297" t="e">
        <f>IF(H54=0,0,(I54/H54))</f>
        <v>#REF!</v>
      </c>
      <c r="K54" s="410"/>
      <c r="L54" s="411"/>
      <c r="M54" s="412"/>
      <c r="N54" s="413"/>
      <c r="O54" s="414"/>
      <c r="P54" s="412"/>
      <c r="Q54" s="413"/>
      <c r="R54" s="414"/>
      <c r="S54" s="412"/>
      <c r="T54" s="325"/>
      <c r="U54" s="325"/>
      <c r="V54" s="415"/>
      <c r="W54" s="416"/>
      <c r="X54" s="412"/>
    </row>
    <row r="55" spans="1:24" ht="12.75" hidden="1" customHeight="1">
      <c r="A55" s="358" t="s">
        <v>161</v>
      </c>
      <c r="B55" s="369">
        <v>6</v>
      </c>
      <c r="C55" s="401" t="e">
        <f>#REF!</f>
        <v>#REF!</v>
      </c>
      <c r="D55" s="281" t="e">
        <f>IF(B55=0,0,(C55/B55))</f>
        <v>#REF!</v>
      </c>
      <c r="E55" s="369">
        <v>6</v>
      </c>
      <c r="F55" s="401" t="e">
        <f>#REF!</f>
        <v>#REF!</v>
      </c>
      <c r="G55" s="282" t="e">
        <f>IF(E55=0,0,(F55/E55))</f>
        <v>#REF!</v>
      </c>
      <c r="H55" s="369">
        <v>6</v>
      </c>
      <c r="I55" s="401" t="e">
        <f>#REF!</f>
        <v>#REF!</v>
      </c>
      <c r="J55" s="281" t="e">
        <f>IF(H55=0,0,(I55/H55))</f>
        <v>#REF!</v>
      </c>
      <c r="K55" s="410"/>
      <c r="L55" s="411"/>
      <c r="M55" s="412"/>
      <c r="N55" s="413"/>
      <c r="O55" s="414"/>
      <c r="P55" s="412"/>
      <c r="Q55" s="413"/>
      <c r="R55" s="414"/>
      <c r="S55" s="412"/>
      <c r="T55" s="319"/>
      <c r="U55" s="319"/>
      <c r="V55" s="415"/>
      <c r="W55" s="416"/>
      <c r="X55" s="412"/>
    </row>
    <row r="56" spans="1:24" hidden="1">
      <c r="A56" s="553" t="s">
        <v>162</v>
      </c>
      <c r="B56" s="553"/>
      <c r="C56" s="553"/>
      <c r="D56" s="553"/>
      <c r="E56" s="553"/>
      <c r="F56" s="553"/>
      <c r="G56" s="553"/>
      <c r="H56" s="553"/>
      <c r="I56" s="553"/>
      <c r="J56" s="553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3"/>
      <c r="V56" s="553"/>
      <c r="W56" s="553"/>
      <c r="X56" s="553"/>
    </row>
    <row r="57" spans="1:24" ht="12.75" hidden="1" customHeight="1">
      <c r="A57" s="560" t="s">
        <v>163</v>
      </c>
      <c r="B57" s="554" t="s">
        <v>212</v>
      </c>
      <c r="C57" s="554"/>
      <c r="D57" s="554"/>
      <c r="E57" s="554" t="s">
        <v>213</v>
      </c>
      <c r="F57" s="554"/>
      <c r="G57" s="554"/>
      <c r="H57" s="554" t="s">
        <v>214</v>
      </c>
      <c r="I57" s="554"/>
      <c r="J57" s="554"/>
      <c r="K57" s="548" t="s">
        <v>212</v>
      </c>
      <c r="L57" s="548"/>
      <c r="M57" s="548"/>
      <c r="N57" s="548" t="s">
        <v>213</v>
      </c>
      <c r="O57" s="548"/>
      <c r="P57" s="548"/>
      <c r="Q57" s="548" t="s">
        <v>214</v>
      </c>
      <c r="R57" s="548"/>
      <c r="S57" s="548"/>
      <c r="T57" s="307"/>
      <c r="U57" s="307"/>
      <c r="V57" s="548" t="str">
        <f>V51</f>
        <v xml:space="preserve">Acumulado </v>
      </c>
      <c r="W57" s="548"/>
      <c r="X57" s="548"/>
    </row>
    <row r="58" spans="1:24" s="303" customFormat="1" hidden="1">
      <c r="A58" s="560"/>
      <c r="B58" s="369" t="s">
        <v>145</v>
      </c>
      <c r="C58" s="370" t="s">
        <v>146</v>
      </c>
      <c r="D58" s="371" t="s">
        <v>135</v>
      </c>
      <c r="E58" s="369" t="s">
        <v>145</v>
      </c>
      <c r="F58" s="370" t="s">
        <v>146</v>
      </c>
      <c r="G58" s="371" t="s">
        <v>135</v>
      </c>
      <c r="H58" s="369" t="s">
        <v>145</v>
      </c>
      <c r="I58" s="370" t="s">
        <v>146</v>
      </c>
      <c r="J58" s="371" t="s">
        <v>135</v>
      </c>
      <c r="K58" s="312" t="s">
        <v>145</v>
      </c>
      <c r="L58" s="313" t="s">
        <v>146</v>
      </c>
      <c r="M58" s="314" t="s">
        <v>135</v>
      </c>
      <c r="N58" s="312" t="s">
        <v>145</v>
      </c>
      <c r="O58" s="313" t="s">
        <v>146</v>
      </c>
      <c r="P58" s="314" t="s">
        <v>135</v>
      </c>
      <c r="Q58" s="312" t="s">
        <v>145</v>
      </c>
      <c r="R58" s="313" t="s">
        <v>146</v>
      </c>
      <c r="S58" s="314" t="s">
        <v>135</v>
      </c>
      <c r="T58" s="315"/>
      <c r="U58" s="315"/>
      <c r="V58" s="312" t="s">
        <v>145</v>
      </c>
      <c r="W58" s="291" t="s">
        <v>146</v>
      </c>
      <c r="X58" s="314" t="s">
        <v>135</v>
      </c>
    </row>
    <row r="59" spans="1:24" hidden="1">
      <c r="A59" s="320" t="s">
        <v>164</v>
      </c>
      <c r="B59" s="369">
        <v>8</v>
      </c>
      <c r="C59" s="401">
        <v>0</v>
      </c>
      <c r="D59" s="283">
        <f>IF(B59=0,0,(C59/B59))</f>
        <v>0</v>
      </c>
      <c r="E59" s="369">
        <v>8</v>
      </c>
      <c r="F59" s="401">
        <v>0</v>
      </c>
      <c r="G59" s="283">
        <f>IF(E59=0,0,(F59/E59))</f>
        <v>0</v>
      </c>
      <c r="H59" s="369">
        <v>8</v>
      </c>
      <c r="I59" s="401">
        <v>0</v>
      </c>
      <c r="J59" s="283">
        <f>IF(H59=0,0,(I59/H59))</f>
        <v>0</v>
      </c>
      <c r="K59" s="312">
        <v>8</v>
      </c>
      <c r="L59" s="359">
        <v>0</v>
      </c>
      <c r="M59" s="360">
        <f>IF(K59=0,0,(L59/K59))</f>
        <v>0</v>
      </c>
      <c r="N59" s="312">
        <v>8</v>
      </c>
      <c r="O59" s="359">
        <v>0</v>
      </c>
      <c r="P59" s="360">
        <f>IF(N59=0,0,(O59/N59))</f>
        <v>0</v>
      </c>
      <c r="Q59" s="312">
        <v>8</v>
      </c>
      <c r="R59" s="359">
        <v>0</v>
      </c>
      <c r="S59" s="360">
        <f>IF(Q59=0,0,(R59/Q59))</f>
        <v>0</v>
      </c>
      <c r="T59" s="319"/>
      <c r="U59" s="319"/>
      <c r="V59" s="348" t="e">
        <f>#REF!+#REF!+#REF!+K59+N59+Q59+#REF!+#REF!</f>
        <v>#REF!</v>
      </c>
      <c r="W59" s="350" t="e">
        <f>#REF!+#REF!+#REF!+L59+O59+R59+#REF!+#REF!</f>
        <v>#REF!</v>
      </c>
      <c r="X59" s="331" t="e">
        <f>IF(V59=0,0,(W59/V59))</f>
        <v>#REF!</v>
      </c>
    </row>
    <row r="60" spans="1:24">
      <c r="A60" s="557" t="s">
        <v>170</v>
      </c>
      <c r="B60" s="557"/>
      <c r="C60" s="557"/>
      <c r="D60" s="557"/>
      <c r="E60" s="557"/>
      <c r="F60" s="557"/>
      <c r="G60" s="557"/>
      <c r="H60" s="557"/>
      <c r="I60" s="557"/>
      <c r="J60" s="557"/>
      <c r="K60" s="557"/>
      <c r="L60" s="557"/>
      <c r="M60" s="557"/>
      <c r="N60" s="557"/>
      <c r="O60" s="557"/>
      <c r="P60" s="557"/>
      <c r="Q60" s="557"/>
      <c r="R60" s="557"/>
      <c r="S60" s="557"/>
      <c r="T60" s="311"/>
      <c r="U60" s="311"/>
      <c r="V60" s="311"/>
      <c r="W60" s="311"/>
      <c r="X60" s="311"/>
    </row>
    <row r="61" spans="1:24">
      <c r="A61" s="547" t="s">
        <v>225</v>
      </c>
      <c r="B61" s="554" t="s">
        <v>233</v>
      </c>
      <c r="C61" s="554"/>
      <c r="D61" s="554"/>
      <c r="E61" s="554" t="s">
        <v>234</v>
      </c>
      <c r="F61" s="554"/>
      <c r="G61" s="554"/>
      <c r="H61" s="554" t="s">
        <v>235</v>
      </c>
      <c r="I61" s="554"/>
      <c r="J61" s="554"/>
      <c r="K61" s="548" t="s">
        <v>227</v>
      </c>
      <c r="L61" s="548"/>
      <c r="M61" s="548"/>
      <c r="N61" s="361" t="s">
        <v>228</v>
      </c>
      <c r="O61" s="361"/>
      <c r="P61" s="361"/>
      <c r="Q61" s="548" t="s">
        <v>229</v>
      </c>
      <c r="R61" s="548"/>
      <c r="S61" s="548"/>
      <c r="T61" s="307"/>
      <c r="U61" s="307"/>
      <c r="V61" s="548" t="str">
        <f>V51</f>
        <v xml:space="preserve">Acumulado </v>
      </c>
      <c r="W61" s="548"/>
      <c r="X61" s="548"/>
    </row>
    <row r="62" spans="1:24" s="303" customFormat="1">
      <c r="A62" s="547"/>
      <c r="B62" s="369" t="s">
        <v>145</v>
      </c>
      <c r="C62" s="370" t="s">
        <v>146</v>
      </c>
      <c r="D62" s="371" t="s">
        <v>135</v>
      </c>
      <c r="E62" s="369" t="s">
        <v>145</v>
      </c>
      <c r="F62" s="370" t="s">
        <v>146</v>
      </c>
      <c r="G62" s="371" t="s">
        <v>135</v>
      </c>
      <c r="H62" s="369" t="s">
        <v>145</v>
      </c>
      <c r="I62" s="370" t="s">
        <v>146</v>
      </c>
      <c r="J62" s="371" t="s">
        <v>135</v>
      </c>
      <c r="K62" s="312" t="s">
        <v>145</v>
      </c>
      <c r="L62" s="313" t="s">
        <v>146</v>
      </c>
      <c r="M62" s="314" t="s">
        <v>135</v>
      </c>
      <c r="N62" s="312" t="s">
        <v>145</v>
      </c>
      <c r="O62" s="313" t="s">
        <v>146</v>
      </c>
      <c r="P62" s="314" t="s">
        <v>135</v>
      </c>
      <c r="Q62" s="312" t="s">
        <v>145</v>
      </c>
      <c r="R62" s="313" t="s">
        <v>146</v>
      </c>
      <c r="S62" s="314" t="s">
        <v>135</v>
      </c>
      <c r="T62" s="315"/>
      <c r="U62" s="315"/>
      <c r="V62" s="312" t="s">
        <v>145</v>
      </c>
      <c r="W62" s="291" t="s">
        <v>146</v>
      </c>
      <c r="X62" s="314" t="s">
        <v>135</v>
      </c>
    </row>
    <row r="63" spans="1:24">
      <c r="A63" s="316" t="s">
        <v>226</v>
      </c>
      <c r="B63" s="397">
        <f>(E63/31)*19</f>
        <v>55.161290322580648</v>
      </c>
      <c r="C63" s="287">
        <v>12</v>
      </c>
      <c r="D63" s="283">
        <f>IF(B63=0,0,(C63/B63))</f>
        <v>0.21754385964912279</v>
      </c>
      <c r="E63" s="369">
        <v>90</v>
      </c>
      <c r="F63" s="287">
        <v>22</v>
      </c>
      <c r="G63" s="283">
        <f>IF(E63=0,0,(F63/E63))</f>
        <v>0.24444444444444444</v>
      </c>
      <c r="H63" s="369">
        <v>90</v>
      </c>
      <c r="I63" s="287">
        <v>91</v>
      </c>
      <c r="J63" s="283">
        <f>IF(H63=0,0,(I63/H63))</f>
        <v>1.0111111111111111</v>
      </c>
      <c r="K63" s="312">
        <v>90</v>
      </c>
      <c r="L63" s="335">
        <v>119</v>
      </c>
      <c r="M63" s="360">
        <f>IF(K63=0,0,(L63/K63))</f>
        <v>1.3222222222222222</v>
      </c>
      <c r="N63" s="312">
        <v>90</v>
      </c>
      <c r="O63" s="362">
        <v>93</v>
      </c>
      <c r="P63" s="360">
        <f>IF(N63=0,0,(O63/N63))</f>
        <v>1.0333333333333334</v>
      </c>
      <c r="Q63" s="312">
        <v>90</v>
      </c>
      <c r="R63" s="335">
        <v>101</v>
      </c>
      <c r="S63" s="360">
        <f>IF(Q63=0,0,(R63/Q63))</f>
        <v>1.1222222222222222</v>
      </c>
      <c r="T63" s="319"/>
      <c r="U63" s="319"/>
      <c r="V63" s="348">
        <f>B63+H63+E63+K63+N63+Q63</f>
        <v>505.16129032258061</v>
      </c>
      <c r="W63" s="350">
        <f>C63+I63+F63+L63+O63+R63</f>
        <v>438</v>
      </c>
      <c r="X63" s="331">
        <f>IF(V63=0,0,(W63/V63))</f>
        <v>0.86704980842911883</v>
      </c>
    </row>
    <row r="64" spans="1:24">
      <c r="A64" s="336"/>
      <c r="B64" s="383"/>
      <c r="C64" s="382"/>
      <c r="D64" s="382"/>
      <c r="E64" s="383"/>
      <c r="F64" s="382"/>
      <c r="G64" s="382"/>
      <c r="H64" s="383"/>
      <c r="I64" s="382"/>
      <c r="J64" s="382"/>
      <c r="K64" s="338"/>
      <c r="L64" s="337"/>
      <c r="M64" s="337"/>
      <c r="N64" s="338"/>
      <c r="O64" s="337"/>
      <c r="P64" s="337"/>
      <c r="Q64" s="338"/>
      <c r="R64" s="337"/>
      <c r="S64" s="337"/>
      <c r="T64" s="325"/>
      <c r="U64" s="325"/>
      <c r="V64" s="339"/>
      <c r="W64" s="340"/>
      <c r="X64" s="339"/>
    </row>
    <row r="65" spans="1:24" hidden="1">
      <c r="A65" s="553" t="s">
        <v>215</v>
      </c>
      <c r="B65" s="553"/>
      <c r="C65" s="553"/>
      <c r="D65" s="553"/>
      <c r="E65" s="553"/>
      <c r="F65" s="553"/>
      <c r="G65" s="553"/>
      <c r="H65" s="553"/>
      <c r="I65" s="553"/>
      <c r="J65" s="553"/>
      <c r="K65" s="553"/>
      <c r="L65" s="553"/>
      <c r="M65" s="553"/>
      <c r="N65" s="553"/>
      <c r="O65" s="553"/>
      <c r="P65" s="553"/>
      <c r="Q65" s="553"/>
      <c r="R65" s="553"/>
      <c r="S65" s="553"/>
      <c r="T65" s="553"/>
      <c r="U65" s="553"/>
      <c r="V65" s="553"/>
      <c r="W65" s="553"/>
      <c r="X65" s="553"/>
    </row>
    <row r="66" spans="1:24" ht="12.75" hidden="1" customHeight="1">
      <c r="A66" s="547" t="s">
        <v>165</v>
      </c>
      <c r="B66" s="554" t="s">
        <v>212</v>
      </c>
      <c r="C66" s="554"/>
      <c r="D66" s="554"/>
      <c r="E66" s="554" t="s">
        <v>213</v>
      </c>
      <c r="F66" s="554"/>
      <c r="G66" s="554"/>
      <c r="H66" s="554" t="s">
        <v>214</v>
      </c>
      <c r="I66" s="554"/>
      <c r="J66" s="554"/>
      <c r="K66" s="548" t="s">
        <v>212</v>
      </c>
      <c r="L66" s="548"/>
      <c r="M66" s="548"/>
      <c r="N66" s="548" t="s">
        <v>213</v>
      </c>
      <c r="O66" s="548"/>
      <c r="P66" s="548"/>
      <c r="Q66" s="548" t="s">
        <v>214</v>
      </c>
      <c r="R66" s="548"/>
      <c r="S66" s="548"/>
      <c r="T66" s="307"/>
      <c r="U66" s="307"/>
      <c r="V66" s="548" t="str">
        <f>V51</f>
        <v xml:space="preserve">Acumulado </v>
      </c>
      <c r="W66" s="548"/>
      <c r="X66" s="548"/>
    </row>
    <row r="67" spans="1:24" s="303" customFormat="1" hidden="1">
      <c r="A67" s="547"/>
      <c r="B67" s="369" t="s">
        <v>145</v>
      </c>
      <c r="C67" s="370" t="s">
        <v>146</v>
      </c>
      <c r="D67" s="371" t="s">
        <v>135</v>
      </c>
      <c r="E67" s="369" t="s">
        <v>145</v>
      </c>
      <c r="F67" s="370" t="s">
        <v>146</v>
      </c>
      <c r="G67" s="371" t="s">
        <v>135</v>
      </c>
      <c r="H67" s="369" t="s">
        <v>145</v>
      </c>
      <c r="I67" s="370" t="s">
        <v>146</v>
      </c>
      <c r="J67" s="371" t="s">
        <v>135</v>
      </c>
      <c r="K67" s="312" t="s">
        <v>145</v>
      </c>
      <c r="L67" s="313" t="s">
        <v>146</v>
      </c>
      <c r="M67" s="314" t="s">
        <v>135</v>
      </c>
      <c r="N67" s="312" t="s">
        <v>145</v>
      </c>
      <c r="O67" s="313" t="s">
        <v>146</v>
      </c>
      <c r="P67" s="314" t="s">
        <v>135</v>
      </c>
      <c r="Q67" s="312" t="s">
        <v>145</v>
      </c>
      <c r="R67" s="313" t="s">
        <v>146</v>
      </c>
      <c r="S67" s="314" t="s">
        <v>135</v>
      </c>
      <c r="T67" s="315"/>
      <c r="U67" s="315"/>
      <c r="V67" s="312" t="s">
        <v>145</v>
      </c>
      <c r="W67" s="291" t="s">
        <v>146</v>
      </c>
      <c r="X67" s="314" t="s">
        <v>135</v>
      </c>
    </row>
    <row r="68" spans="1:24" hidden="1">
      <c r="A68" s="316" t="s">
        <v>166</v>
      </c>
      <c r="B68" s="369">
        <v>150</v>
      </c>
      <c r="C68" s="401" t="e">
        <f>#REF!</f>
        <v>#REF!</v>
      </c>
      <c r="D68" s="283" t="e">
        <f>IF(B68=0,0,(C68/B68))</f>
        <v>#REF!</v>
      </c>
      <c r="E68" s="369">
        <v>150</v>
      </c>
      <c r="F68" s="401" t="e">
        <f>#REF!</f>
        <v>#REF!</v>
      </c>
      <c r="G68" s="283" t="e">
        <f>IF(E68=0,0,(F68/E68))</f>
        <v>#REF!</v>
      </c>
      <c r="H68" s="369">
        <v>150</v>
      </c>
      <c r="I68" s="401" t="e">
        <f>#REF!</f>
        <v>#REF!</v>
      </c>
      <c r="J68" s="283" t="e">
        <f>IF(H68=0,0,(I68/H68))</f>
        <v>#REF!</v>
      </c>
      <c r="K68" s="312">
        <v>150</v>
      </c>
      <c r="L68" s="359" t="e">
        <f>#REF!</f>
        <v>#REF!</v>
      </c>
      <c r="M68" s="360" t="e">
        <f>IF(K68=0,0,(L68/K68))</f>
        <v>#REF!</v>
      </c>
      <c r="N68" s="312">
        <v>150</v>
      </c>
      <c r="O68" s="359" t="e">
        <f>#REF!</f>
        <v>#REF!</v>
      </c>
      <c r="P68" s="360" t="e">
        <f>IF(N68=0,0,(O68/N68))</f>
        <v>#REF!</v>
      </c>
      <c r="Q68" s="312">
        <v>150</v>
      </c>
      <c r="R68" s="359" t="e">
        <f>#REF!</f>
        <v>#REF!</v>
      </c>
      <c r="S68" s="360" t="e">
        <f>IF(Q68=0,0,(R68/Q68))</f>
        <v>#REF!</v>
      </c>
      <c r="T68" s="319"/>
      <c r="U68" s="319"/>
      <c r="V68" s="312" t="e">
        <f>#REF!+#REF!+#REF!+K68+N68+Q68+#REF!+#REF!</f>
        <v>#REF!</v>
      </c>
      <c r="W68" s="335" t="e">
        <f>#REF!+#REF!+#REF!+L68+O68+R68+#REF!+#REF!</f>
        <v>#REF!</v>
      </c>
      <c r="X68" s="360" t="e">
        <f>IF(V68=0,0,(W68/V68))</f>
        <v>#REF!</v>
      </c>
    </row>
    <row r="69" spans="1:24" hidden="1">
      <c r="A69" s="363" t="s">
        <v>216</v>
      </c>
      <c r="B69" s="383"/>
      <c r="C69" s="382"/>
      <c r="D69" s="382"/>
      <c r="E69" s="383"/>
      <c r="F69" s="382"/>
      <c r="G69" s="382"/>
      <c r="H69" s="383"/>
      <c r="I69" s="382"/>
      <c r="J69" s="382"/>
      <c r="K69" s="338"/>
      <c r="L69" s="337"/>
      <c r="M69" s="337"/>
      <c r="N69" s="338"/>
      <c r="O69" s="337"/>
      <c r="P69" s="337"/>
      <c r="Q69" s="338"/>
      <c r="R69" s="337"/>
      <c r="S69" s="337"/>
      <c r="T69" s="325"/>
      <c r="U69" s="325"/>
      <c r="V69" s="339"/>
      <c r="W69" s="340"/>
      <c r="X69" s="339"/>
    </row>
    <row r="70" spans="1:24" ht="12.75" customHeight="1">
      <c r="A70" s="561" t="s">
        <v>167</v>
      </c>
      <c r="B70" s="561"/>
      <c r="C70" s="561"/>
      <c r="D70" s="561"/>
      <c r="E70" s="561"/>
      <c r="F70" s="561"/>
      <c r="G70" s="561"/>
      <c r="H70" s="561"/>
      <c r="I70" s="561"/>
      <c r="J70" s="561"/>
      <c r="K70" s="561"/>
      <c r="L70" s="561"/>
      <c r="M70" s="561"/>
      <c r="N70" s="561"/>
      <c r="O70" s="561"/>
      <c r="P70" s="561"/>
      <c r="Q70" s="561"/>
      <c r="R70" s="561"/>
      <c r="S70" s="561"/>
      <c r="T70" s="311"/>
      <c r="U70" s="311"/>
      <c r="V70" s="311"/>
      <c r="W70" s="311"/>
      <c r="X70" s="311"/>
    </row>
    <row r="71" spans="1:24">
      <c r="A71" s="547" t="s">
        <v>167</v>
      </c>
      <c r="B71" s="554" t="s">
        <v>233</v>
      </c>
      <c r="C71" s="554"/>
      <c r="D71" s="554"/>
      <c r="E71" s="554" t="s">
        <v>234</v>
      </c>
      <c r="F71" s="554"/>
      <c r="G71" s="554"/>
      <c r="H71" s="554" t="s">
        <v>235</v>
      </c>
      <c r="I71" s="554"/>
      <c r="J71" s="554"/>
      <c r="K71" s="548" t="s">
        <v>227</v>
      </c>
      <c r="L71" s="548"/>
      <c r="M71" s="548"/>
      <c r="N71" s="361" t="s">
        <v>228</v>
      </c>
      <c r="O71" s="361"/>
      <c r="P71" s="361"/>
      <c r="Q71" s="548" t="s">
        <v>229</v>
      </c>
      <c r="R71" s="548"/>
      <c r="S71" s="548"/>
      <c r="T71" s="307"/>
      <c r="U71" s="307"/>
      <c r="V71" s="548" t="str">
        <f>V57</f>
        <v xml:space="preserve">Acumulado </v>
      </c>
      <c r="W71" s="548"/>
      <c r="X71" s="548"/>
    </row>
    <row r="72" spans="1:24">
      <c r="A72" s="547"/>
      <c r="B72" s="369" t="s">
        <v>145</v>
      </c>
      <c r="C72" s="381" t="s">
        <v>146</v>
      </c>
      <c r="D72" s="371" t="s">
        <v>135</v>
      </c>
      <c r="E72" s="369" t="s">
        <v>145</v>
      </c>
      <c r="F72" s="381" t="s">
        <v>146</v>
      </c>
      <c r="G72" s="371" t="s">
        <v>135</v>
      </c>
      <c r="H72" s="369" t="s">
        <v>145</v>
      </c>
      <c r="I72" s="381" t="s">
        <v>146</v>
      </c>
      <c r="J72" s="371" t="s">
        <v>135</v>
      </c>
      <c r="K72" s="312" t="s">
        <v>145</v>
      </c>
      <c r="L72" s="291" t="s">
        <v>146</v>
      </c>
      <c r="M72" s="314" t="s">
        <v>135</v>
      </c>
      <c r="N72" s="312" t="s">
        <v>145</v>
      </c>
      <c r="O72" s="291" t="s">
        <v>146</v>
      </c>
      <c r="P72" s="314" t="s">
        <v>135</v>
      </c>
      <c r="Q72" s="312" t="s">
        <v>145</v>
      </c>
      <c r="R72" s="291" t="s">
        <v>146</v>
      </c>
      <c r="S72" s="314" t="s">
        <v>135</v>
      </c>
      <c r="T72" s="325"/>
      <c r="U72" s="325"/>
      <c r="V72" s="312" t="s">
        <v>145</v>
      </c>
      <c r="W72" s="291" t="s">
        <v>146</v>
      </c>
      <c r="X72" s="314" t="s">
        <v>135</v>
      </c>
    </row>
    <row r="73" spans="1:24">
      <c r="A73" s="364" t="s">
        <v>232</v>
      </c>
      <c r="B73" s="391">
        <f>(7000/31)*19</f>
        <v>4290.322580645161</v>
      </c>
      <c r="C73" s="287">
        <v>8263</v>
      </c>
      <c r="D73" s="281">
        <f>IF(B73=0,0,(C73/B73))</f>
        <v>1.9259624060150378</v>
      </c>
      <c r="E73" s="391">
        <v>7000</v>
      </c>
      <c r="F73" s="287">
        <v>10116</v>
      </c>
      <c r="G73" s="281">
        <f>IF(E73=0,0,(F73/E73))</f>
        <v>1.4451428571428571</v>
      </c>
      <c r="H73" s="391">
        <v>7000</v>
      </c>
      <c r="I73" s="287">
        <v>9524</v>
      </c>
      <c r="J73" s="281">
        <f>IF(H73=0,0,(I73/H73))</f>
        <v>1.3605714285714285</v>
      </c>
      <c r="K73" s="348">
        <v>7000</v>
      </c>
      <c r="L73" s="335">
        <f>'[1]SADT - EXTERNO'!E41</f>
        <v>9028</v>
      </c>
      <c r="M73" s="331">
        <f>IF(K73=0,0,(L73/K73))</f>
        <v>1.2897142857142858</v>
      </c>
      <c r="N73" s="348">
        <v>7000</v>
      </c>
      <c r="O73" s="365">
        <v>7951</v>
      </c>
      <c r="P73" s="331">
        <f>IF(N73=0,0,(O73/N73))</f>
        <v>1.1358571428571429</v>
      </c>
      <c r="Q73" s="348">
        <v>7000</v>
      </c>
      <c r="R73" s="335">
        <f>'[1]SADT - EXTERNO'!G41</f>
        <v>5198</v>
      </c>
      <c r="S73" s="331">
        <f>IF(Q73=0,0,(R73/Q73))</f>
        <v>0.74257142857142855</v>
      </c>
      <c r="T73" s="319"/>
      <c r="U73" s="319"/>
      <c r="V73" s="348">
        <f>B73+H73+E73+K73+N73+Q73</f>
        <v>39290.322580645159</v>
      </c>
      <c r="W73" s="350">
        <f>C73+I73+F73+L73+O73+R73</f>
        <v>50080</v>
      </c>
      <c r="X73" s="331">
        <f>W73/V73</f>
        <v>1.2746141215106732</v>
      </c>
    </row>
    <row r="74" spans="1:24">
      <c r="A74" s="336"/>
      <c r="B74" s="383"/>
      <c r="C74" s="383"/>
      <c r="D74" s="383"/>
      <c r="E74" s="383"/>
      <c r="F74" s="383"/>
      <c r="G74" s="383"/>
      <c r="H74" s="383"/>
      <c r="I74" s="383"/>
      <c r="J74" s="383"/>
      <c r="K74" s="338"/>
      <c r="L74" s="338"/>
      <c r="M74" s="338"/>
      <c r="N74" s="338"/>
      <c r="O74" s="338"/>
      <c r="P74" s="338"/>
      <c r="Q74" s="338"/>
      <c r="R74" s="338"/>
      <c r="S74" s="338"/>
      <c r="T74" s="324"/>
      <c r="U74" s="324"/>
      <c r="V74" s="338"/>
      <c r="W74" s="366"/>
      <c r="X74" s="339"/>
    </row>
    <row r="78" spans="1:24">
      <c r="A78" s="562" t="s">
        <v>238</v>
      </c>
    </row>
  </sheetData>
  <sheetProtection selectLockedCells="1" selectUnlockedCells="1"/>
  <mergeCells count="94">
    <mergeCell ref="A71:A72"/>
    <mergeCell ref="K71:M71"/>
    <mergeCell ref="E66:G66"/>
    <mergeCell ref="H66:J66"/>
    <mergeCell ref="B71:D71"/>
    <mergeCell ref="E71:G71"/>
    <mergeCell ref="H71:J71"/>
    <mergeCell ref="H57:J57"/>
    <mergeCell ref="Q71:S71"/>
    <mergeCell ref="A66:A67"/>
    <mergeCell ref="Q61:S61"/>
    <mergeCell ref="V61:X61"/>
    <mergeCell ref="K66:M66"/>
    <mergeCell ref="N66:P66"/>
    <mergeCell ref="Q66:S66"/>
    <mergeCell ref="V66:X66"/>
    <mergeCell ref="A65:X65"/>
    <mergeCell ref="B61:D61"/>
    <mergeCell ref="E61:G61"/>
    <mergeCell ref="H61:J61"/>
    <mergeCell ref="V71:X71"/>
    <mergeCell ref="A70:S70"/>
    <mergeCell ref="B66:D66"/>
    <mergeCell ref="A60:S60"/>
    <mergeCell ref="A61:A62"/>
    <mergeCell ref="K61:M61"/>
    <mergeCell ref="A50:S50"/>
    <mergeCell ref="A51:A52"/>
    <mergeCell ref="K51:M51"/>
    <mergeCell ref="N51:P51"/>
    <mergeCell ref="Q51:S51"/>
    <mergeCell ref="A56:X56"/>
    <mergeCell ref="A57:A58"/>
    <mergeCell ref="K57:M57"/>
    <mergeCell ref="N57:P57"/>
    <mergeCell ref="Q57:S57"/>
    <mergeCell ref="V57:X57"/>
    <mergeCell ref="B57:D57"/>
    <mergeCell ref="E57:G57"/>
    <mergeCell ref="N40:P40"/>
    <mergeCell ref="Q40:S40"/>
    <mergeCell ref="V51:X51"/>
    <mergeCell ref="B51:D51"/>
    <mergeCell ref="E51:G51"/>
    <mergeCell ref="H51:J51"/>
    <mergeCell ref="A44:S44"/>
    <mergeCell ref="A45:X45"/>
    <mergeCell ref="A46:A47"/>
    <mergeCell ref="K46:M46"/>
    <mergeCell ref="N46:P46"/>
    <mergeCell ref="Q46:S46"/>
    <mergeCell ref="V46:X46"/>
    <mergeCell ref="B46:D46"/>
    <mergeCell ref="E46:G46"/>
    <mergeCell ref="H46:J46"/>
    <mergeCell ref="V40:X40"/>
    <mergeCell ref="B40:D40"/>
    <mergeCell ref="E40:G40"/>
    <mergeCell ref="H40:J40"/>
    <mergeCell ref="A30:S30"/>
    <mergeCell ref="A31:A32"/>
    <mergeCell ref="K31:M31"/>
    <mergeCell ref="N31:P31"/>
    <mergeCell ref="Q31:S31"/>
    <mergeCell ref="V31:X31"/>
    <mergeCell ref="B31:D31"/>
    <mergeCell ref="E31:G31"/>
    <mergeCell ref="H31:J31"/>
    <mergeCell ref="A39:S39"/>
    <mergeCell ref="A40:A41"/>
    <mergeCell ref="K40:M40"/>
    <mergeCell ref="A23:X23"/>
    <mergeCell ref="A24:A25"/>
    <mergeCell ref="K24:M24"/>
    <mergeCell ref="N24:P24"/>
    <mergeCell ref="Q24:S24"/>
    <mergeCell ref="V24:X24"/>
    <mergeCell ref="B24:D24"/>
    <mergeCell ref="E24:G24"/>
    <mergeCell ref="H24:J24"/>
    <mergeCell ref="K1:T2"/>
    <mergeCell ref="K3:T4"/>
    <mergeCell ref="A10:Y10"/>
    <mergeCell ref="A12:S12"/>
    <mergeCell ref="A13:A14"/>
    <mergeCell ref="K13:M13"/>
    <mergeCell ref="N13:P13"/>
    <mergeCell ref="Q13:S13"/>
    <mergeCell ref="V13:X13"/>
    <mergeCell ref="A7:X7"/>
    <mergeCell ref="A8:X8"/>
    <mergeCell ref="B13:D13"/>
    <mergeCell ref="E13:G13"/>
    <mergeCell ref="H13:J13"/>
  </mergeCells>
  <printOptions horizontalCentered="1"/>
  <pageMargins left="0.19685039370078741" right="0.19685039370078741" top="0.23622047244094491" bottom="0.51181102362204722" header="0.51181102362204722" footer="0.51181102362204722"/>
  <pageSetup paperSize="9" scale="47" firstPageNumber="0" orientation="landscape" horizontalDpi="300" verticalDpi="300" r:id="rId1"/>
  <headerFooter alignWithMargins="0">
    <oddFooter xml:space="preserve">&amp;L&amp;14Página 30&amp;C </oddFooter>
  </headerFooter>
  <rowBreaks count="1" manualBreakCount="1">
    <brk id="73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18</vt:i4>
      </vt:variant>
    </vt:vector>
  </HeadingPairs>
  <TitlesOfParts>
    <vt:vector size="26" baseType="lpstr">
      <vt:lpstr>Assistencial JAN</vt:lpstr>
      <vt:lpstr>Assistencial FEV</vt:lpstr>
      <vt:lpstr>Assistencial MAR</vt:lpstr>
      <vt:lpstr> Taxas Mortalidade </vt:lpstr>
      <vt:lpstr>Qualidade Jan</vt:lpstr>
      <vt:lpstr>Qualidade FEV</vt:lpstr>
      <vt:lpstr>Qualidade Mar</vt:lpstr>
      <vt:lpstr>Contrato X Realizado 2º sem</vt:lpstr>
      <vt:lpstr>'Assistencial FEV'!__xlnm.Print_Area_1</vt:lpstr>
      <vt:lpstr>'Assistencial JAN'!__xlnm.Print_Area_1</vt:lpstr>
      <vt:lpstr>'Assistencial MAR'!__xlnm.Print_Area_1</vt:lpstr>
      <vt:lpstr>'Qualidade FEV'!__xlnm.Print_Area_1</vt:lpstr>
      <vt:lpstr>'Qualidade Jan'!__xlnm.Print_Area_1</vt:lpstr>
      <vt:lpstr>'Qualidade Mar'!__xlnm.Print_Area_1</vt:lpstr>
      <vt:lpstr>' Taxas Mortalidade '!Area_de_impressao</vt:lpstr>
      <vt:lpstr>'Assistencial FEV'!Area_de_impressao</vt:lpstr>
      <vt:lpstr>'Assistencial JAN'!Area_de_impressao</vt:lpstr>
      <vt:lpstr>'Assistencial MAR'!Area_de_impressao</vt:lpstr>
      <vt:lpstr>'Contrato X Realizado 2º sem'!Area_de_impressao</vt:lpstr>
      <vt:lpstr>'Qualidade FEV'!Area_de_impressao</vt:lpstr>
      <vt:lpstr>'Qualidade Jan'!Area_de_impressao</vt:lpstr>
      <vt:lpstr>'Qualidade Mar'!Area_de_impressao</vt:lpstr>
      <vt:lpstr>'Contrato X Realizado 2º sem'!Excel_BuiltIn_Print_Area_16_1_1_1_1</vt:lpstr>
      <vt:lpstr>'Contrato X Realizado 2º sem'!Excel_BuiltIn_Print_Area_17_1</vt:lpstr>
      <vt:lpstr>'Contrato X Realizado 2º sem'!Excel_BuiltIn_Print_Area_17_1_1</vt:lpstr>
      <vt:lpstr>'Contrato X Realizado 2º sem'!Excel_BuiltIn_Print_Area_17_1_1_1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6260598</dc:creator>
  <cp:lastModifiedBy>7001756</cp:lastModifiedBy>
  <cp:lastPrinted>2018-08-30T22:46:59Z</cp:lastPrinted>
  <dcterms:created xsi:type="dcterms:W3CDTF">2016-02-22T12:52:06Z</dcterms:created>
  <dcterms:modified xsi:type="dcterms:W3CDTF">2018-08-30T22:47:28Z</dcterms:modified>
</cp:coreProperties>
</file>